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vsd" ContentType="application/vnd.visi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omments2.xml" ContentType="application/vnd.openxmlformats-officedocument.spreadsheetml.comments+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8.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xml" ContentType="application/vnd.openxmlformats-officedocument.drawing+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updateLinks="never"/>
  <mc:AlternateContent xmlns:mc="http://schemas.openxmlformats.org/markup-compatibility/2006">
    <mc:Choice Requires="x15">
      <x15ac:absPath xmlns:x15ac="http://schemas.microsoft.com/office/spreadsheetml/2010/11/ac" url="C:\Hoadley\Data_RH\Harmonics Estimator\ABB New Harmonic Estimator\"/>
    </mc:Choice>
  </mc:AlternateContent>
  <xr:revisionPtr revIDLastSave="0" documentId="13_ncr:1_{FD0C1FBD-FF47-4328-BD03-57483A06E357}" xr6:coauthVersionLast="47" xr6:coauthVersionMax="47" xr10:uidLastSave="{00000000-0000-0000-0000-000000000000}"/>
  <workbookProtection workbookAlgorithmName="SHA-512" workbookHashValue="mKjx2i4gZ1hjnApgBWWcFqnsecFmzIjqH17bYqaszydrPKmmUmroqIKfEV8866Ba1ssUfpiCN5kspmRsXmgfZA==" workbookSaltValue="tF/4TI2X7VXaM6NLo8gfRg==" workbookSpinCount="100000" lockStructure="1"/>
  <bookViews>
    <workbookView xWindow="28680" yWindow="-120" windowWidth="29040" windowHeight="15840" tabRatio="855" activeTab="1" xr2:uid="{00000000-000D-0000-FFFF-FFFF00000000}"/>
  </bookViews>
  <sheets>
    <sheet name="Instructions" sheetId="35" r:id="rId1"/>
    <sheet name="Input" sheetId="4" r:id="rId2"/>
    <sheet name="Report" sheetId="67" r:id="rId3"/>
    <sheet name="Qual Notes" sheetId="33" r:id="rId4"/>
    <sheet name="Drives" sheetId="7" state="hidden" r:id="rId5"/>
    <sheet name="Sum" sheetId="11" state="hidden" r:id="rId6"/>
    <sheet name="IEEE" sheetId="12" state="hidden" r:id="rId7"/>
    <sheet name="Power" sheetId="32" state="hidden" r:id="rId8"/>
    <sheet name="Thermal" sheetId="69" state="hidden" r:id="rId9"/>
    <sheet name="Notes" sheetId="66" state="hidden" r:id="rId10"/>
    <sheet name="Relationships" sheetId="65" state="hidden" r:id="rId11"/>
    <sheet name="A01" sheetId="10" state="hidden" r:id="rId12"/>
    <sheet name="A02" sheetId="43" state="hidden" r:id="rId13"/>
    <sheet name="A03" sheetId="44" state="hidden" r:id="rId14"/>
    <sheet name="A04" sheetId="45" state="hidden" r:id="rId15"/>
    <sheet name="A05" sheetId="46" state="hidden" r:id="rId16"/>
    <sheet name="A06" sheetId="47" state="hidden" r:id="rId17"/>
    <sheet name="A07" sheetId="48" state="hidden" r:id="rId18"/>
    <sheet name="A08" sheetId="28" state="hidden" r:id="rId19"/>
    <sheet name="A09" sheetId="27" state="hidden" r:id="rId20"/>
    <sheet name="B01" sheetId="13" state="hidden" r:id="rId21"/>
    <sheet name="B02" sheetId="51" state="hidden" r:id="rId22"/>
    <sheet name="B03" sheetId="52" state="hidden" r:id="rId23"/>
    <sheet name="B04" sheetId="53" state="hidden" r:id="rId24"/>
    <sheet name="B05" sheetId="54" state="hidden" r:id="rId25"/>
    <sheet name="B06" sheetId="57" state="hidden" r:id="rId26"/>
    <sheet name="B07" sheetId="58" state="hidden" r:id="rId27"/>
    <sheet name="B08" sheetId="37" state="hidden" r:id="rId28"/>
    <sheet name="B09" sheetId="38" state="hidden" r:id="rId29"/>
    <sheet name="C01" sheetId="14" state="hidden" r:id="rId30"/>
    <sheet name="C02" sheetId="59" state="hidden" r:id="rId31"/>
    <sheet name="C03" sheetId="60" state="hidden" r:id="rId32"/>
    <sheet name="C04" sheetId="61" state="hidden" r:id="rId33"/>
    <sheet name="C05" sheetId="62" state="hidden" r:id="rId34"/>
    <sheet name="C06" sheetId="63" state="hidden" r:id="rId35"/>
    <sheet name="C07" sheetId="64" state="hidden" r:id="rId36"/>
    <sheet name="C08" sheetId="39" state="hidden" r:id="rId37"/>
    <sheet name="C09" sheetId="40" state="hidden" r:id="rId38"/>
    <sheet name="D01" sheetId="36" state="hidden" r:id="rId39"/>
    <sheet name="E01" sheetId="15" state="hidden" r:id="rId40"/>
    <sheet name="F01" sheetId="26" state="hidden" r:id="rId41"/>
    <sheet name="G01" sheetId="68" state="hidden" r:id="rId42"/>
  </sheets>
  <externalReferences>
    <externalReference r:id="rId43"/>
    <externalReference r:id="rId44"/>
  </externalReferences>
  <definedNames>
    <definedName name="DefPlotRange" localSheetId="12">#REF!,#REF!,#REF!,#REF!,#REF!,#REF!</definedName>
    <definedName name="DefPlotRange" localSheetId="13">#REF!,#REF!,#REF!,#REF!,#REF!,#REF!</definedName>
    <definedName name="DefPlotRange" localSheetId="14">#REF!,#REF!,#REF!,#REF!,#REF!,#REF!</definedName>
    <definedName name="DefPlotRange" localSheetId="15">#REF!,#REF!,#REF!,#REF!,#REF!,#REF!</definedName>
    <definedName name="DefPlotRange" localSheetId="16">#REF!,#REF!,#REF!,#REF!,#REF!,#REF!</definedName>
    <definedName name="DefPlotRange" localSheetId="17">#REF!,#REF!,#REF!,#REF!,#REF!,#REF!</definedName>
    <definedName name="DefPlotRange" localSheetId="18">#REF!,#REF!,#REF!,#REF!,#REF!,#REF!</definedName>
    <definedName name="DefPlotRange" localSheetId="19">#REF!,#REF!,#REF!,#REF!,#REF!,#REF!</definedName>
    <definedName name="DefPlotRange" localSheetId="21">#REF!,#REF!,#REF!,#REF!,#REF!,#REF!</definedName>
    <definedName name="DefPlotRange" localSheetId="22">#REF!,#REF!,#REF!,#REF!,#REF!,#REF!</definedName>
    <definedName name="DefPlotRange" localSheetId="23">#REF!,#REF!,#REF!,#REF!,#REF!,#REF!</definedName>
    <definedName name="DefPlotRange" localSheetId="24">#REF!,#REF!,#REF!,#REF!,#REF!,#REF!</definedName>
    <definedName name="DefPlotRange" localSheetId="25">#REF!,#REF!,#REF!,#REF!,#REF!,#REF!</definedName>
    <definedName name="DefPlotRange" localSheetId="26">#REF!,#REF!,#REF!,#REF!,#REF!,#REF!</definedName>
    <definedName name="DefPlotRange" localSheetId="27">#REF!,#REF!,#REF!,#REF!,#REF!,#REF!</definedName>
    <definedName name="DefPlotRange" localSheetId="28">#REF!,#REF!,#REF!,#REF!,#REF!,#REF!</definedName>
    <definedName name="DefPlotRange" localSheetId="30">#REF!,#REF!,#REF!,#REF!,#REF!,#REF!</definedName>
    <definedName name="DefPlotRange" localSheetId="31">#REF!,#REF!,#REF!,#REF!,#REF!,#REF!</definedName>
    <definedName name="DefPlotRange" localSheetId="32">#REF!,#REF!,#REF!,#REF!,#REF!,#REF!</definedName>
    <definedName name="DefPlotRange" localSheetId="33">#REF!,#REF!,#REF!,#REF!,#REF!,#REF!</definedName>
    <definedName name="DefPlotRange" localSheetId="34">#REF!,#REF!,#REF!,#REF!,#REF!,#REF!</definedName>
    <definedName name="DefPlotRange" localSheetId="35">#REF!,#REF!,#REF!,#REF!,#REF!,#REF!</definedName>
    <definedName name="DefPlotRange" localSheetId="36">#REF!,#REF!,#REF!,#REF!,#REF!,#REF!</definedName>
    <definedName name="DefPlotRange" localSheetId="37">#REF!,#REF!,#REF!,#REF!,#REF!,#REF!</definedName>
    <definedName name="DefPlotRange" localSheetId="38">#REF!,#REF!,#REF!,#REF!,#REF!,#REF!</definedName>
    <definedName name="DefPlotRange" localSheetId="41">#REF!,#REF!,#REF!,#REF!,#REF!,#REF!</definedName>
    <definedName name="DefPlotRange" localSheetId="0">#REF!,#REF!,#REF!,#REF!,#REF!,#REF!</definedName>
    <definedName name="DefPlotRange" localSheetId="7">#REF!,#REF!,#REF!,#REF!,#REF!,#REF!</definedName>
    <definedName name="DefPlotRange">#REF!,#REF!,#REF!,#REF!,#REF!,#REF!</definedName>
    <definedName name="Drive">Drives!$M$6:$M$11</definedName>
    <definedName name="Drive_Sel" localSheetId="0">[1]Drives!$M$15:$M$21</definedName>
    <definedName name="Drive_Sel">Drives!$M$6:$M$11</definedName>
    <definedName name="Drive_Selection" localSheetId="12">#REF!</definedName>
    <definedName name="Drive_Selection" localSheetId="13">#REF!</definedName>
    <definedName name="Drive_Selection" localSheetId="14">#REF!</definedName>
    <definedName name="Drive_Selection" localSheetId="15">#REF!</definedName>
    <definedName name="Drive_Selection" localSheetId="16">#REF!</definedName>
    <definedName name="Drive_Selection" localSheetId="17">#REF!</definedName>
    <definedName name="Drive_Selection" localSheetId="21">#REF!</definedName>
    <definedName name="Drive_Selection" localSheetId="22">#REF!</definedName>
    <definedName name="Drive_Selection" localSheetId="23">#REF!</definedName>
    <definedName name="Drive_Selection" localSheetId="24">#REF!</definedName>
    <definedName name="Drive_Selection" localSheetId="25">#REF!</definedName>
    <definedName name="Drive_Selection" localSheetId="26">#REF!</definedName>
    <definedName name="Drive_Selection" localSheetId="27">#REF!</definedName>
    <definedName name="Drive_Selection" localSheetId="28">#REF!</definedName>
    <definedName name="Drive_Selection" localSheetId="30">#REF!</definedName>
    <definedName name="Drive_Selection" localSheetId="31">#REF!</definedName>
    <definedName name="Drive_Selection" localSheetId="32">#REF!</definedName>
    <definedName name="Drive_Selection" localSheetId="33">#REF!</definedName>
    <definedName name="Drive_Selection" localSheetId="34">#REF!</definedName>
    <definedName name="Drive_Selection" localSheetId="35">#REF!</definedName>
    <definedName name="Drive_Selection" localSheetId="36">#REF!</definedName>
    <definedName name="Drive_Selection" localSheetId="37">#REF!</definedName>
    <definedName name="Drive_Selection" localSheetId="38">#REF!</definedName>
    <definedName name="Drive_Selection" localSheetId="41">#REF!</definedName>
    <definedName name="Drive_Selection" localSheetId="0">#REF!</definedName>
    <definedName name="Drive_Selection" localSheetId="7">Power!#REF!</definedName>
    <definedName name="Drive_Selection">#REF!</definedName>
    <definedName name="DriveType" localSheetId="12">#REF!</definedName>
    <definedName name="DriveType" localSheetId="13">#REF!</definedName>
    <definedName name="DriveType" localSheetId="14">#REF!</definedName>
    <definedName name="DriveType" localSheetId="15">#REF!</definedName>
    <definedName name="DriveType" localSheetId="16">#REF!</definedName>
    <definedName name="DriveType" localSheetId="17">#REF!</definedName>
    <definedName name="DriveType" localSheetId="21">#REF!</definedName>
    <definedName name="DriveType" localSheetId="22">#REF!</definedName>
    <definedName name="DriveType" localSheetId="23">#REF!</definedName>
    <definedName name="DriveType" localSheetId="24">#REF!</definedName>
    <definedName name="DriveType" localSheetId="25">#REF!</definedName>
    <definedName name="DriveType" localSheetId="26">#REF!</definedName>
    <definedName name="DriveType" localSheetId="27">#REF!</definedName>
    <definedName name="DriveType" localSheetId="28">#REF!</definedName>
    <definedName name="DriveType" localSheetId="30">#REF!</definedName>
    <definedName name="DriveType" localSheetId="31">#REF!</definedName>
    <definedName name="DriveType" localSheetId="32">#REF!</definedName>
    <definedName name="DriveType" localSheetId="33">#REF!</definedName>
    <definedName name="DriveType" localSheetId="34">#REF!</definedName>
    <definedName name="DriveType" localSheetId="35">#REF!</definedName>
    <definedName name="DriveType" localSheetId="36">#REF!</definedName>
    <definedName name="DriveType" localSheetId="37">#REF!</definedName>
    <definedName name="DriveType" localSheetId="38">#REF!</definedName>
    <definedName name="DriveType" localSheetId="41">#REF!</definedName>
    <definedName name="DriveType" localSheetId="0">#REF!</definedName>
    <definedName name="DriveType" localSheetId="7">Power!#REF!</definedName>
    <definedName name="DriveType">#REF!</definedName>
    <definedName name="Filter" localSheetId="12">#REF!</definedName>
    <definedName name="Filter" localSheetId="13">#REF!</definedName>
    <definedName name="Filter" localSheetId="14">#REF!</definedName>
    <definedName name="Filter" localSheetId="15">#REF!</definedName>
    <definedName name="Filter" localSheetId="16">#REF!</definedName>
    <definedName name="Filter" localSheetId="17">#REF!</definedName>
    <definedName name="Filter" localSheetId="21">#REF!</definedName>
    <definedName name="Filter" localSheetId="22">#REF!</definedName>
    <definedName name="Filter" localSheetId="23">#REF!</definedName>
    <definedName name="Filter" localSheetId="24">#REF!</definedName>
    <definedName name="Filter" localSheetId="25">#REF!</definedName>
    <definedName name="Filter" localSheetId="26">#REF!</definedName>
    <definedName name="Filter" localSheetId="27">#REF!</definedName>
    <definedName name="Filter" localSheetId="28">#REF!</definedName>
    <definedName name="Filter" localSheetId="30">#REF!</definedName>
    <definedName name="Filter" localSheetId="31">#REF!</definedName>
    <definedName name="Filter" localSheetId="32">#REF!</definedName>
    <definedName name="Filter" localSheetId="33">#REF!</definedName>
    <definedName name="Filter" localSheetId="34">#REF!</definedName>
    <definedName name="Filter" localSheetId="35">#REF!</definedName>
    <definedName name="Filter" localSheetId="36">#REF!</definedName>
    <definedName name="Filter" localSheetId="37">#REF!</definedName>
    <definedName name="Filter" localSheetId="38">#REF!</definedName>
    <definedName name="Filter" localSheetId="41">#REF!</definedName>
    <definedName name="Filter" localSheetId="0">#REF!</definedName>
    <definedName name="Filter" localSheetId="7">Power!#REF!</definedName>
    <definedName name="Filter">#REF!</definedName>
    <definedName name="Filter_Sel" localSheetId="0">[1]Drives!$O$15:$O$25</definedName>
    <definedName name="Filter_Sel">Drives!$O$7:$O$14</definedName>
    <definedName name="Filter_Selection" localSheetId="12">#REF!</definedName>
    <definedName name="Filter_Selection" localSheetId="13">#REF!</definedName>
    <definedName name="Filter_Selection" localSheetId="14">#REF!</definedName>
    <definedName name="Filter_Selection" localSheetId="15">#REF!</definedName>
    <definedName name="Filter_Selection" localSheetId="16">#REF!</definedName>
    <definedName name="Filter_Selection" localSheetId="17">#REF!</definedName>
    <definedName name="Filter_Selection" localSheetId="21">#REF!</definedName>
    <definedName name="Filter_Selection" localSheetId="22">#REF!</definedName>
    <definedName name="Filter_Selection" localSheetId="23">#REF!</definedName>
    <definedName name="Filter_Selection" localSheetId="24">#REF!</definedName>
    <definedName name="Filter_Selection" localSheetId="25">#REF!</definedName>
    <definedName name="Filter_Selection" localSheetId="26">#REF!</definedName>
    <definedName name="Filter_Selection" localSheetId="27">#REF!</definedName>
    <definedName name="Filter_Selection" localSheetId="28">#REF!</definedName>
    <definedName name="Filter_Selection" localSheetId="30">#REF!</definedName>
    <definedName name="Filter_Selection" localSheetId="31">#REF!</definedName>
    <definedName name="Filter_Selection" localSheetId="32">#REF!</definedName>
    <definedName name="Filter_Selection" localSheetId="33">#REF!</definedName>
    <definedName name="Filter_Selection" localSheetId="34">#REF!</definedName>
    <definedName name="Filter_Selection" localSheetId="35">#REF!</definedName>
    <definedName name="Filter_Selection" localSheetId="36">#REF!</definedName>
    <definedName name="Filter_Selection" localSheetId="37">#REF!</definedName>
    <definedName name="Filter_Selection" localSheetId="38">#REF!</definedName>
    <definedName name="Filter_Selection" localSheetId="41">#REF!</definedName>
    <definedName name="Filter_Selection" localSheetId="0">#REF!</definedName>
    <definedName name="Filter_Selection" localSheetId="7">Power!#REF!</definedName>
    <definedName name="Filter_Selection">#REF!</definedName>
    <definedName name="LineReactor" localSheetId="12">#REF!</definedName>
    <definedName name="LineReactor" localSheetId="13">#REF!</definedName>
    <definedName name="LineReactor" localSheetId="14">#REF!</definedName>
    <definedName name="LineReactor" localSheetId="15">#REF!</definedName>
    <definedName name="LineReactor" localSheetId="16">#REF!</definedName>
    <definedName name="LineReactor" localSheetId="17">#REF!</definedName>
    <definedName name="LineReactor" localSheetId="21">#REF!</definedName>
    <definedName name="LineReactor" localSheetId="22">#REF!</definedName>
    <definedName name="LineReactor" localSheetId="23">#REF!</definedName>
    <definedName name="LineReactor" localSheetId="24">#REF!</definedName>
    <definedName name="LineReactor" localSheetId="25">#REF!</definedName>
    <definedName name="LineReactor" localSheetId="26">#REF!</definedName>
    <definedName name="LineReactor" localSheetId="27">#REF!</definedName>
    <definedName name="LineReactor" localSheetId="28">#REF!</definedName>
    <definedName name="LineReactor" localSheetId="30">#REF!</definedName>
    <definedName name="LineReactor" localSheetId="31">#REF!</definedName>
    <definedName name="LineReactor" localSheetId="32">#REF!</definedName>
    <definedName name="LineReactor" localSheetId="33">#REF!</definedName>
    <definedName name="LineReactor" localSheetId="34">#REF!</definedName>
    <definedName name="LineReactor" localSheetId="35">#REF!</definedName>
    <definedName name="LineReactor" localSheetId="36">#REF!</definedName>
    <definedName name="LineReactor" localSheetId="37">#REF!</definedName>
    <definedName name="LineReactor" localSheetId="38">#REF!</definedName>
    <definedName name="LineReactor" localSheetId="41">#REF!</definedName>
    <definedName name="LineReactor" localSheetId="0">#REF!</definedName>
    <definedName name="LineReactor" localSheetId="7">Power!#REF!</definedName>
    <definedName name="LineReactor">#REF!</definedName>
    <definedName name="PCC_Sel" localSheetId="0">[1]Drives!$M$34:$M$35</definedName>
    <definedName name="PCC_Sel">Drives!$M$25:$M$26</definedName>
    <definedName name="_xlnm.Print_Area" localSheetId="4">Drives!$L$1:$W$88</definedName>
    <definedName name="_xlnm.Print_Area" localSheetId="1">Input!$A$1:$J$76</definedName>
    <definedName name="_xlnm.Print_Area" localSheetId="0">Instructions!$A$1:$K$366</definedName>
    <definedName name="_xlnm.Print_Area" localSheetId="7">Power!$W$2:$AL$48</definedName>
    <definedName name="_xlnm.Print_Area" localSheetId="3">'Qual Notes'!$A$1:$C$23</definedName>
    <definedName name="Qual" localSheetId="12">#REF!</definedName>
    <definedName name="Qual" localSheetId="13">#REF!</definedName>
    <definedName name="Qual" localSheetId="14">#REF!</definedName>
    <definedName name="Qual" localSheetId="15">#REF!</definedName>
    <definedName name="Qual" localSheetId="16">#REF!</definedName>
    <definedName name="Qual" localSheetId="17">#REF!</definedName>
    <definedName name="Qual" localSheetId="21">#REF!</definedName>
    <definedName name="Qual" localSheetId="22">#REF!</definedName>
    <definedName name="Qual" localSheetId="23">#REF!</definedName>
    <definedName name="Qual" localSheetId="24">#REF!</definedName>
    <definedName name="Qual" localSheetId="25">#REF!</definedName>
    <definedName name="Qual" localSheetId="26">#REF!</definedName>
    <definedName name="Qual" localSheetId="27">#REF!</definedName>
    <definedName name="Qual" localSheetId="28">#REF!</definedName>
    <definedName name="Qual" localSheetId="30">#REF!</definedName>
    <definedName name="Qual" localSheetId="31">#REF!</definedName>
    <definedName name="Qual" localSheetId="32">#REF!</definedName>
    <definedName name="Qual" localSheetId="33">#REF!</definedName>
    <definedName name="Qual" localSheetId="34">#REF!</definedName>
    <definedName name="Qual" localSheetId="35">#REF!</definedName>
    <definedName name="Qual" localSheetId="36">#REF!</definedName>
    <definedName name="Qual" localSheetId="37">#REF!</definedName>
    <definedName name="Qual" localSheetId="38">#REF!</definedName>
    <definedName name="Qual" localSheetId="41">#REF!</definedName>
    <definedName name="Qual" localSheetId="0">#REF!</definedName>
    <definedName name="Qual" localSheetId="7">Power!#REF!</definedName>
    <definedName name="Qual">#REF!</definedName>
    <definedName name="Qual_Notes" localSheetId="0">'[1]Qual Notes'!$B$3:$B$13</definedName>
    <definedName name="Qual_Notes">'Qual Notes'!$B$3:$B$15</definedName>
    <definedName name="Source_Sel" localSheetId="0">[1]Drives!$M$29:$M$30</definedName>
    <definedName name="Source_Sel">Drives!$M$20:$M$21</definedName>
    <definedName name="SupplyList" localSheetId="12">#REF!</definedName>
    <definedName name="SupplyList" localSheetId="13">#REF!</definedName>
    <definedName name="SupplyList" localSheetId="14">#REF!</definedName>
    <definedName name="SupplyList" localSheetId="15">#REF!</definedName>
    <definedName name="SupplyList" localSheetId="16">#REF!</definedName>
    <definedName name="SupplyList" localSheetId="17">#REF!</definedName>
    <definedName name="SupplyList" localSheetId="18">#REF!</definedName>
    <definedName name="SupplyList" localSheetId="19">#REF!</definedName>
    <definedName name="SupplyList" localSheetId="21">#REF!</definedName>
    <definedName name="SupplyList" localSheetId="22">#REF!</definedName>
    <definedName name="SupplyList" localSheetId="23">#REF!</definedName>
    <definedName name="SupplyList" localSheetId="24">#REF!</definedName>
    <definedName name="SupplyList" localSheetId="25">#REF!</definedName>
    <definedName name="SupplyList" localSheetId="26">#REF!</definedName>
    <definedName name="SupplyList" localSheetId="27">#REF!</definedName>
    <definedName name="SupplyList" localSheetId="28">#REF!</definedName>
    <definedName name="SupplyList" localSheetId="30">#REF!</definedName>
    <definedName name="SupplyList" localSheetId="31">#REF!</definedName>
    <definedName name="SupplyList" localSheetId="32">#REF!</definedName>
    <definedName name="SupplyList" localSheetId="33">#REF!</definedName>
    <definedName name="SupplyList" localSheetId="34">#REF!</definedName>
    <definedName name="SupplyList" localSheetId="35">#REF!</definedName>
    <definedName name="SupplyList" localSheetId="36">#REF!</definedName>
    <definedName name="SupplyList" localSheetId="37">#REF!</definedName>
    <definedName name="SupplyList" localSheetId="38">#REF!</definedName>
    <definedName name="SupplyList" localSheetId="41">#REF!</definedName>
    <definedName name="SupplyList" localSheetId="0">#REF!</definedName>
    <definedName name="SupplyList" localSheetId="7">#REF!</definedName>
    <definedName name="SupplyList">#REF!</definedName>
    <definedName name="TDD_Sel">Drives!$M$25:$M$26</definedName>
    <definedName name="UNITS" localSheetId="12">#REF!</definedName>
    <definedName name="UNITS" localSheetId="13">#REF!</definedName>
    <definedName name="UNITS" localSheetId="14">#REF!</definedName>
    <definedName name="UNITS" localSheetId="15">#REF!</definedName>
    <definedName name="UNITS" localSheetId="16">#REF!</definedName>
    <definedName name="UNITS" localSheetId="17">#REF!</definedName>
    <definedName name="UNITS" localSheetId="18">#REF!</definedName>
    <definedName name="UNITS" localSheetId="19">#REF!</definedName>
    <definedName name="UNITS" localSheetId="21">#REF!</definedName>
    <definedName name="UNITS" localSheetId="22">#REF!</definedName>
    <definedName name="UNITS" localSheetId="23">#REF!</definedName>
    <definedName name="UNITS" localSheetId="24">#REF!</definedName>
    <definedName name="UNITS" localSheetId="25">#REF!</definedName>
    <definedName name="UNITS" localSheetId="26">#REF!</definedName>
    <definedName name="UNITS" localSheetId="27">#REF!</definedName>
    <definedName name="UNITS" localSheetId="28">#REF!</definedName>
    <definedName name="UNITS" localSheetId="30">#REF!</definedName>
    <definedName name="UNITS" localSheetId="31">#REF!</definedName>
    <definedName name="UNITS" localSheetId="32">#REF!</definedName>
    <definedName name="UNITS" localSheetId="33">#REF!</definedName>
    <definedName name="UNITS" localSheetId="34">#REF!</definedName>
    <definedName name="UNITS" localSheetId="35">#REF!</definedName>
    <definedName name="UNITS" localSheetId="36">#REF!</definedName>
    <definedName name="UNITS" localSheetId="37">#REF!</definedName>
    <definedName name="UNITS" localSheetId="38">#REF!</definedName>
    <definedName name="UNITS" localSheetId="41">#REF!</definedName>
    <definedName name="UNITS" localSheetId="0">#REF!</definedName>
    <definedName name="UNITS" localSheetId="7">#REF!</definedName>
    <definedName name="UNITS">#REF!</definedName>
    <definedName name="UNITS_POWER" localSheetId="12">#REF!</definedName>
    <definedName name="UNITS_POWER" localSheetId="13">#REF!</definedName>
    <definedName name="UNITS_POWER" localSheetId="14">#REF!</definedName>
    <definedName name="UNITS_POWER" localSheetId="15">#REF!</definedName>
    <definedName name="UNITS_POWER" localSheetId="16">#REF!</definedName>
    <definedName name="UNITS_POWER" localSheetId="17">#REF!</definedName>
    <definedName name="UNITS_POWER" localSheetId="18">#REF!</definedName>
    <definedName name="UNITS_POWER" localSheetId="19">#REF!</definedName>
    <definedName name="UNITS_POWER" localSheetId="21">#REF!</definedName>
    <definedName name="UNITS_POWER" localSheetId="22">#REF!</definedName>
    <definedName name="UNITS_POWER" localSheetId="23">#REF!</definedName>
    <definedName name="UNITS_POWER" localSheetId="24">#REF!</definedName>
    <definedName name="UNITS_POWER" localSheetId="25">#REF!</definedName>
    <definedName name="UNITS_POWER" localSheetId="26">#REF!</definedName>
    <definedName name="UNITS_POWER" localSheetId="27">#REF!</definedName>
    <definedName name="UNITS_POWER" localSheetId="28">#REF!</definedName>
    <definedName name="UNITS_POWER" localSheetId="30">#REF!</definedName>
    <definedName name="UNITS_POWER" localSheetId="31">#REF!</definedName>
    <definedName name="UNITS_POWER" localSheetId="32">#REF!</definedName>
    <definedName name="UNITS_POWER" localSheetId="33">#REF!</definedName>
    <definedName name="UNITS_POWER" localSheetId="34">#REF!</definedName>
    <definedName name="UNITS_POWER" localSheetId="35">#REF!</definedName>
    <definedName name="UNITS_POWER" localSheetId="36">#REF!</definedName>
    <definedName name="UNITS_POWER" localSheetId="37">#REF!</definedName>
    <definedName name="UNITS_POWER" localSheetId="38">#REF!</definedName>
    <definedName name="UNITS_POWER" localSheetId="41">#REF!</definedName>
    <definedName name="UNITS_POWER" localSheetId="0">#REF!</definedName>
    <definedName name="UNITS_POWER" localSheetId="7">#REF!</definedName>
    <definedName name="UNITS_POWER">#REF!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 i="66" l="1"/>
  <c r="Q54" i="7" l="1"/>
  <c r="F34" i="67" s="1"/>
  <c r="Y114" i="26" l="1"/>
  <c r="W114" i="26"/>
  <c r="E38" i="67" l="1"/>
  <c r="D164" i="35" l="1"/>
  <c r="D165" i="35"/>
  <c r="D166" i="35"/>
  <c r="D167" i="35"/>
  <c r="D168" i="35"/>
  <c r="D169" i="35"/>
  <c r="D170" i="35"/>
  <c r="D163" i="35"/>
  <c r="D154" i="35"/>
  <c r="D155" i="35"/>
  <c r="D156" i="35"/>
  <c r="D157" i="35"/>
  <c r="D158" i="35"/>
  <c r="D153" i="35"/>
  <c r="AH56" i="11" l="1"/>
  <c r="AH57" i="11"/>
  <c r="AH58" i="11"/>
  <c r="AH59" i="11"/>
  <c r="AH60" i="11"/>
  <c r="AH61" i="11"/>
  <c r="AH62" i="11"/>
  <c r="AH63" i="11"/>
  <c r="AH64" i="11"/>
  <c r="AH65" i="11"/>
  <c r="AH66" i="11"/>
  <c r="AH67" i="11"/>
  <c r="AH68" i="11"/>
  <c r="AH69" i="11"/>
  <c r="AH70" i="11"/>
  <c r="AH71" i="11"/>
  <c r="AH72" i="11"/>
  <c r="AH73" i="11"/>
  <c r="AH74" i="11"/>
  <c r="AH75" i="11"/>
  <c r="AH76" i="11"/>
  <c r="AH77" i="11"/>
  <c r="AH78" i="11"/>
  <c r="AH79" i="11"/>
  <c r="AH80" i="11"/>
  <c r="AH81" i="11"/>
  <c r="AH82" i="11"/>
  <c r="AH83" i="11"/>
  <c r="AH84" i="11"/>
  <c r="AH85" i="11"/>
  <c r="AH86" i="11"/>
  <c r="AH87" i="11"/>
  <c r="AH88" i="11"/>
  <c r="AH89" i="11"/>
  <c r="AH90" i="11"/>
  <c r="AH91" i="11"/>
  <c r="AH92" i="11"/>
  <c r="AH93" i="11"/>
  <c r="AH94" i="11"/>
  <c r="AH95" i="11"/>
  <c r="AH96" i="11"/>
  <c r="AH97" i="11"/>
  <c r="AH98" i="11"/>
  <c r="AH99" i="11"/>
  <c r="AH100" i="11"/>
  <c r="AH101" i="11"/>
  <c r="AH102" i="11"/>
  <c r="AH103" i="11"/>
  <c r="AH104" i="11"/>
  <c r="AH105" i="11"/>
  <c r="P33" i="7" l="1"/>
  <c r="AT114" i="11" s="1"/>
  <c r="AC12" i="32" l="1"/>
  <c r="B25" i="67" l="1"/>
  <c r="B33" i="67"/>
  <c r="B35" i="67"/>
  <c r="B32" i="67"/>
  <c r="N33" i="7" l="1"/>
  <c r="P52" i="7" s="1"/>
  <c r="E32" i="67" s="1"/>
  <c r="P56" i="7" l="1"/>
  <c r="Z37" i="32" s="1"/>
  <c r="P55" i="7"/>
  <c r="E35" i="67" s="1"/>
  <c r="P53" i="7"/>
  <c r="E33" i="67" s="1"/>
  <c r="P57" i="7"/>
  <c r="AC37" i="32" s="1"/>
  <c r="P54" i="7"/>
  <c r="AG14" i="32"/>
  <c r="N35" i="32"/>
  <c r="Q53" i="7"/>
  <c r="F33" i="67" s="1"/>
  <c r="Q55" i="7"/>
  <c r="F35" i="67" s="1"/>
  <c r="Q56" i="7"/>
  <c r="K33" i="32" s="1"/>
  <c r="Q57" i="7"/>
  <c r="K43" i="32" s="1"/>
  <c r="E6" i="32" l="1"/>
  <c r="E34" i="67"/>
  <c r="AC6" i="32"/>
  <c r="Q52" i="7"/>
  <c r="F32" i="67" s="1"/>
  <c r="P64" i="7"/>
  <c r="P63" i="7"/>
  <c r="P61" i="7"/>
  <c r="P60" i="7"/>
  <c r="E7" i="32"/>
  <c r="E13" i="32" s="1"/>
  <c r="E5" i="32"/>
  <c r="E4" i="32"/>
  <c r="P49" i="7"/>
  <c r="P48" i="7"/>
  <c r="P47" i="7"/>
  <c r="P44" i="7"/>
  <c r="P43" i="7"/>
  <c r="P42" i="7"/>
  <c r="N19" i="7"/>
  <c r="N17" i="7"/>
  <c r="E14" i="32" l="1"/>
  <c r="J17" i="4"/>
  <c r="H17" i="4"/>
  <c r="J16" i="4"/>
  <c r="H16" i="4"/>
  <c r="G35" i="67"/>
  <c r="B36" i="67"/>
  <c r="F37" i="67"/>
  <c r="F36" i="67"/>
  <c r="E37" i="67"/>
  <c r="B37" i="67"/>
  <c r="E36" i="67"/>
  <c r="AC40" i="32"/>
  <c r="E17" i="4"/>
  <c r="E16" i="4"/>
  <c r="AG2" i="32"/>
  <c r="K1" i="35"/>
  <c r="D63" i="67"/>
  <c r="AJ56" i="11" l="1"/>
  <c r="AJ59" i="11"/>
  <c r="AJ62" i="11"/>
  <c r="AJ65" i="11"/>
  <c r="AJ68" i="11"/>
  <c r="AJ71" i="11"/>
  <c r="AJ74" i="11"/>
  <c r="AJ77" i="11"/>
  <c r="AJ80" i="11"/>
  <c r="AJ83" i="11"/>
  <c r="AJ86" i="11"/>
  <c r="AJ89" i="11"/>
  <c r="AJ92" i="11"/>
  <c r="AJ95" i="11"/>
  <c r="AJ98" i="11"/>
  <c r="AJ101" i="11"/>
  <c r="AJ104" i="11"/>
  <c r="Z58" i="67" l="1"/>
  <c r="Z11" i="67"/>
  <c r="Z12" i="67"/>
  <c r="Z13" i="67"/>
  <c r="Z14" i="67"/>
  <c r="Z15" i="67"/>
  <c r="Z16" i="67"/>
  <c r="Z17" i="67"/>
  <c r="Z18" i="67"/>
  <c r="Z19" i="67"/>
  <c r="Z20" i="67"/>
  <c r="Z21" i="67"/>
  <c r="Z22" i="67"/>
  <c r="Z23" i="67"/>
  <c r="Z24" i="67"/>
  <c r="Z25" i="67"/>
  <c r="Z26" i="67"/>
  <c r="Z27" i="67"/>
  <c r="Z28" i="67"/>
  <c r="Z29" i="67"/>
  <c r="Z30" i="67"/>
  <c r="Z31" i="67"/>
  <c r="Z32" i="67"/>
  <c r="Z33" i="67"/>
  <c r="Z34" i="67"/>
  <c r="Z35" i="67"/>
  <c r="Z36" i="67"/>
  <c r="Z37" i="67"/>
  <c r="Z38" i="67"/>
  <c r="Z39" i="67"/>
  <c r="Z40" i="67"/>
  <c r="Z41" i="67"/>
  <c r="Z42" i="67"/>
  <c r="Z43" i="67"/>
  <c r="Z44" i="67"/>
  <c r="Z45" i="67"/>
  <c r="Z46" i="67"/>
  <c r="Z47" i="67"/>
  <c r="Z48" i="67"/>
  <c r="Z49" i="67"/>
  <c r="Z50" i="67"/>
  <c r="Z51" i="67"/>
  <c r="Z52" i="67"/>
  <c r="Z53" i="67"/>
  <c r="Z54" i="67"/>
  <c r="Z55" i="67"/>
  <c r="Z56" i="67"/>
  <c r="Z57" i="67"/>
  <c r="Z10" i="67"/>
  <c r="Z9" i="67"/>
  <c r="Z8" i="67" l="1"/>
  <c r="P30" i="7" l="1"/>
  <c r="P31" i="7"/>
  <c r="P32" i="7"/>
  <c r="P35" i="7"/>
  <c r="P36" i="7"/>
  <c r="P29" i="7"/>
  <c r="J8" i="4" l="1"/>
  <c r="P62" i="7" s="1"/>
  <c r="W59" i="67" l="1"/>
  <c r="H76" i="4"/>
  <c r="X59" i="67" s="1"/>
  <c r="M39" i="4"/>
  <c r="S9" i="67" l="1"/>
  <c r="M50" i="4" l="1"/>
  <c r="J1" i="4" l="1"/>
  <c r="P3" i="67"/>
  <c r="E26" i="68" l="1"/>
  <c r="E24" i="68"/>
  <c r="M18" i="68"/>
  <c r="G4" i="68" s="1"/>
  <c r="AJ57" i="11"/>
  <c r="AJ60" i="11"/>
  <c r="AJ64" i="11"/>
  <c r="AJ67" i="11"/>
  <c r="AJ72" i="11"/>
  <c r="AJ73" i="11"/>
  <c r="AJ75" i="11"/>
  <c r="AJ76" i="11"/>
  <c r="AJ81" i="11"/>
  <c r="AJ84" i="11"/>
  <c r="AJ88" i="11"/>
  <c r="AJ91" i="11"/>
  <c r="AJ96" i="11"/>
  <c r="AJ97" i="11"/>
  <c r="AJ99" i="11"/>
  <c r="AJ100" i="11"/>
  <c r="AJ105" i="11"/>
  <c r="E14" i="68"/>
  <c r="E12" i="68"/>
  <c r="V79" i="7"/>
  <c r="V80" i="7"/>
  <c r="V81" i="7"/>
  <c r="V82" i="7"/>
  <c r="V83" i="7"/>
  <c r="V84" i="7"/>
  <c r="V85" i="7"/>
  <c r="V86" i="7"/>
  <c r="V78" i="7"/>
  <c r="U78" i="7"/>
  <c r="U79" i="7" s="1"/>
  <c r="U80" i="7" s="1"/>
  <c r="U81" i="7" s="1"/>
  <c r="U82" i="7" s="1"/>
  <c r="U83" i="7" s="1"/>
  <c r="U84" i="7" s="1"/>
  <c r="U85" i="7" s="1"/>
  <c r="U86" i="7" s="1"/>
  <c r="AF112" i="11"/>
  <c r="AJ58" i="11"/>
  <c r="AJ61" i="11"/>
  <c r="AJ63" i="11"/>
  <c r="AJ66" i="11"/>
  <c r="AJ69" i="11"/>
  <c r="AJ70" i="11"/>
  <c r="AJ78" i="11"/>
  <c r="AJ79" i="11"/>
  <c r="AJ82" i="11"/>
  <c r="AJ85" i="11"/>
  <c r="AJ87" i="11"/>
  <c r="AJ90" i="11"/>
  <c r="AJ93" i="11"/>
  <c r="AJ94" i="11"/>
  <c r="AJ102" i="11"/>
  <c r="AJ103" i="11"/>
  <c r="D55" i="67" l="1"/>
  <c r="D57" i="67"/>
  <c r="D59" i="67"/>
  <c r="D61" i="67"/>
  <c r="D53" i="67"/>
  <c r="D4" i="67"/>
  <c r="D5" i="67"/>
  <c r="D6" i="67"/>
  <c r="D7" i="67"/>
  <c r="D8" i="67"/>
  <c r="D9" i="67"/>
  <c r="D10" i="67"/>
  <c r="D11" i="67"/>
  <c r="D12" i="67"/>
  <c r="E16" i="67"/>
  <c r="N2" i="67"/>
  <c r="AN4" i="67" l="1"/>
  <c r="AD4" i="67"/>
  <c r="T4" i="67"/>
  <c r="V10" i="67" l="1"/>
  <c r="W10" i="67"/>
  <c r="X10" i="67"/>
  <c r="Y10" i="67"/>
  <c r="V11" i="67"/>
  <c r="W11" i="67"/>
  <c r="X11" i="67"/>
  <c r="Y11" i="67"/>
  <c r="V12" i="67"/>
  <c r="W12" i="67"/>
  <c r="X12" i="67"/>
  <c r="Y12" i="67"/>
  <c r="V13" i="67"/>
  <c r="W13" i="67"/>
  <c r="X13" i="67"/>
  <c r="Y13" i="67"/>
  <c r="V14" i="67"/>
  <c r="W14" i="67"/>
  <c r="X14" i="67"/>
  <c r="Y14" i="67"/>
  <c r="V15" i="67"/>
  <c r="W15" i="67"/>
  <c r="X15" i="67"/>
  <c r="Y15" i="67"/>
  <c r="V16" i="67"/>
  <c r="W16" i="67"/>
  <c r="X16" i="67"/>
  <c r="Y16" i="67"/>
  <c r="V17" i="67"/>
  <c r="W17" i="67"/>
  <c r="X17" i="67"/>
  <c r="Y17" i="67"/>
  <c r="V18" i="67"/>
  <c r="W18" i="67"/>
  <c r="X18" i="67"/>
  <c r="Y18" i="67"/>
  <c r="V19" i="67"/>
  <c r="W19" i="67"/>
  <c r="X19" i="67"/>
  <c r="Y19" i="67"/>
  <c r="V20" i="67"/>
  <c r="W20" i="67"/>
  <c r="X20" i="67"/>
  <c r="Y20" i="67"/>
  <c r="V21" i="67"/>
  <c r="W21" i="67"/>
  <c r="X21" i="67"/>
  <c r="Y21" i="67"/>
  <c r="V22" i="67"/>
  <c r="W22" i="67"/>
  <c r="X22" i="67"/>
  <c r="Y22" i="67"/>
  <c r="V23" i="67"/>
  <c r="W23" i="67"/>
  <c r="X23" i="67"/>
  <c r="Y23" i="67"/>
  <c r="V24" i="67"/>
  <c r="W24" i="67"/>
  <c r="X24" i="67"/>
  <c r="Y24" i="67"/>
  <c r="V25" i="67"/>
  <c r="W25" i="67"/>
  <c r="X25" i="67"/>
  <c r="Y25" i="67"/>
  <c r="V26" i="67"/>
  <c r="W26" i="67"/>
  <c r="X26" i="67"/>
  <c r="Y26" i="67"/>
  <c r="V27" i="67"/>
  <c r="W27" i="67"/>
  <c r="X27" i="67"/>
  <c r="Y27" i="67"/>
  <c r="V28" i="67"/>
  <c r="W28" i="67"/>
  <c r="X28" i="67"/>
  <c r="Y28" i="67"/>
  <c r="V29" i="67"/>
  <c r="W29" i="67"/>
  <c r="X29" i="67"/>
  <c r="Y29" i="67"/>
  <c r="V30" i="67"/>
  <c r="W30" i="67"/>
  <c r="X30" i="67"/>
  <c r="Y30" i="67"/>
  <c r="V31" i="67"/>
  <c r="W31" i="67"/>
  <c r="X31" i="67"/>
  <c r="Y31" i="67"/>
  <c r="V32" i="67"/>
  <c r="W32" i="67"/>
  <c r="X32" i="67"/>
  <c r="Y32" i="67"/>
  <c r="V33" i="67"/>
  <c r="W33" i="67"/>
  <c r="X33" i="67"/>
  <c r="Y33" i="67"/>
  <c r="V34" i="67"/>
  <c r="W34" i="67"/>
  <c r="X34" i="67"/>
  <c r="Y34" i="67"/>
  <c r="V35" i="67"/>
  <c r="W35" i="67"/>
  <c r="X35" i="67"/>
  <c r="Y35" i="67"/>
  <c r="V36" i="67"/>
  <c r="W36" i="67"/>
  <c r="X36" i="67"/>
  <c r="Y36" i="67"/>
  <c r="V37" i="67"/>
  <c r="W37" i="67"/>
  <c r="X37" i="67"/>
  <c r="Y37" i="67"/>
  <c r="V38" i="67"/>
  <c r="W38" i="67"/>
  <c r="X38" i="67"/>
  <c r="Y38" i="67"/>
  <c r="V39" i="67"/>
  <c r="W39" i="67"/>
  <c r="X39" i="67"/>
  <c r="Y39" i="67"/>
  <c r="V40" i="67"/>
  <c r="W40" i="67"/>
  <c r="X40" i="67"/>
  <c r="Y40" i="67"/>
  <c r="V41" i="67"/>
  <c r="W41" i="67"/>
  <c r="X41" i="67"/>
  <c r="Y41" i="67"/>
  <c r="V42" i="67"/>
  <c r="W42" i="67"/>
  <c r="X42" i="67"/>
  <c r="Y42" i="67"/>
  <c r="V43" i="67"/>
  <c r="W43" i="67"/>
  <c r="X43" i="67"/>
  <c r="Y43" i="67"/>
  <c r="V44" i="67"/>
  <c r="W44" i="67"/>
  <c r="X44" i="67"/>
  <c r="Y44" i="67"/>
  <c r="V45" i="67"/>
  <c r="W45" i="67"/>
  <c r="X45" i="67"/>
  <c r="Y45" i="67"/>
  <c r="V46" i="67"/>
  <c r="W46" i="67"/>
  <c r="X46" i="67"/>
  <c r="Y46" i="67"/>
  <c r="V47" i="67"/>
  <c r="W47" i="67"/>
  <c r="X47" i="67"/>
  <c r="Y47" i="67"/>
  <c r="V48" i="67"/>
  <c r="W48" i="67"/>
  <c r="X48" i="67"/>
  <c r="Y48" i="67"/>
  <c r="V49" i="67"/>
  <c r="W49" i="67"/>
  <c r="X49" i="67"/>
  <c r="Y49" i="67"/>
  <c r="V50" i="67"/>
  <c r="W50" i="67"/>
  <c r="X50" i="67"/>
  <c r="Y50" i="67"/>
  <c r="V51" i="67"/>
  <c r="W51" i="67"/>
  <c r="X51" i="67"/>
  <c r="Y51" i="67"/>
  <c r="V52" i="67"/>
  <c r="W52" i="67"/>
  <c r="X52" i="67"/>
  <c r="Y52" i="67"/>
  <c r="V53" i="67"/>
  <c r="W53" i="67"/>
  <c r="X53" i="67"/>
  <c r="Y53" i="67"/>
  <c r="V54" i="67"/>
  <c r="W54" i="67"/>
  <c r="X54" i="67"/>
  <c r="Y54" i="67"/>
  <c r="V55" i="67"/>
  <c r="W55" i="67"/>
  <c r="X55" i="67"/>
  <c r="Y55" i="67"/>
  <c r="V56" i="67"/>
  <c r="W56" i="67"/>
  <c r="X56" i="67"/>
  <c r="Y56" i="67"/>
  <c r="V57" i="67"/>
  <c r="W57" i="67"/>
  <c r="X57" i="67"/>
  <c r="Y57" i="67"/>
  <c r="V58" i="67"/>
  <c r="W58" i="67"/>
  <c r="X58" i="67"/>
  <c r="Y58" i="67"/>
  <c r="S10" i="67"/>
  <c r="S11" i="67"/>
  <c r="S12" i="67"/>
  <c r="S13" i="67"/>
  <c r="S14" i="67"/>
  <c r="S15" i="67"/>
  <c r="S16" i="67"/>
  <c r="S17" i="67"/>
  <c r="S18" i="67"/>
  <c r="S19" i="67"/>
  <c r="S20" i="67"/>
  <c r="S21" i="67"/>
  <c r="S22" i="67"/>
  <c r="S23" i="67"/>
  <c r="S24" i="67"/>
  <c r="S25" i="67"/>
  <c r="S26" i="67"/>
  <c r="S27" i="67"/>
  <c r="S28" i="67"/>
  <c r="S29" i="67"/>
  <c r="S30" i="67"/>
  <c r="S31" i="67"/>
  <c r="S32" i="67"/>
  <c r="S33" i="67"/>
  <c r="S34" i="67"/>
  <c r="S35" i="67"/>
  <c r="S36" i="67"/>
  <c r="S37" i="67"/>
  <c r="S38" i="67"/>
  <c r="S39" i="67"/>
  <c r="S40" i="67"/>
  <c r="S41" i="67"/>
  <c r="S42" i="67"/>
  <c r="S43" i="67"/>
  <c r="S44" i="67"/>
  <c r="S45" i="67"/>
  <c r="S46" i="67"/>
  <c r="S47" i="67"/>
  <c r="S48" i="67"/>
  <c r="S49" i="67"/>
  <c r="S50" i="67"/>
  <c r="S51" i="67"/>
  <c r="S52" i="67"/>
  <c r="S53" i="67"/>
  <c r="S54" i="67"/>
  <c r="S55" i="67"/>
  <c r="S56" i="67"/>
  <c r="S57" i="67"/>
  <c r="S58" i="67"/>
  <c r="X9" i="67"/>
  <c r="Y9" i="67"/>
  <c r="W9" i="67"/>
  <c r="V9" i="67"/>
  <c r="M45" i="4" l="1"/>
  <c r="N3" i="40"/>
  <c r="N3" i="38"/>
  <c r="S13" i="28"/>
  <c r="S14" i="28"/>
  <c r="S15" i="28"/>
  <c r="S16" i="28"/>
  <c r="S17" i="28"/>
  <c r="S13" i="27"/>
  <c r="S14" i="27"/>
  <c r="S15" i="27"/>
  <c r="S16" i="27"/>
  <c r="S17" i="27"/>
  <c r="Q17" i="27"/>
  <c r="Q16" i="27"/>
  <c r="Q15" i="27"/>
  <c r="Q14" i="27"/>
  <c r="N3" i="39"/>
  <c r="Q15" i="28"/>
  <c r="Q16" i="28"/>
  <c r="Q17" i="28"/>
  <c r="Q14" i="28"/>
  <c r="N3" i="28"/>
  <c r="L114" i="47" l="1"/>
  <c r="M114" i="47"/>
  <c r="N114" i="47"/>
  <c r="O114" i="47"/>
  <c r="P114" i="47"/>
  <c r="Q114" i="47"/>
  <c r="R114" i="47"/>
  <c r="S114" i="47"/>
  <c r="T114" i="47"/>
  <c r="U114" i="47"/>
  <c r="S114" i="43"/>
  <c r="T114" i="43"/>
  <c r="U114" i="43"/>
  <c r="R114" i="44"/>
  <c r="S114" i="44"/>
  <c r="T114" i="44"/>
  <c r="U114" i="44"/>
  <c r="P114" i="45"/>
  <c r="Q114" i="45"/>
  <c r="R114" i="45"/>
  <c r="S114" i="45"/>
  <c r="T114" i="45"/>
  <c r="U114" i="45"/>
  <c r="N114" i="46"/>
  <c r="O114" i="46"/>
  <c r="P114" i="46"/>
  <c r="Q114" i="46"/>
  <c r="R114" i="46"/>
  <c r="S114" i="46"/>
  <c r="T114" i="46"/>
  <c r="U114" i="46"/>
  <c r="J114" i="48"/>
  <c r="K114" i="48"/>
  <c r="L114" i="48"/>
  <c r="M114" i="48"/>
  <c r="N114" i="48"/>
  <c r="O114" i="48"/>
  <c r="P114" i="48"/>
  <c r="Q114" i="48"/>
  <c r="R114" i="48"/>
  <c r="S114" i="48"/>
  <c r="T114" i="48"/>
  <c r="U114" i="48"/>
  <c r="L114" i="13"/>
  <c r="M114" i="13"/>
  <c r="N114" i="13"/>
  <c r="O114" i="13"/>
  <c r="P114" i="13"/>
  <c r="Q114" i="13"/>
  <c r="R114" i="13"/>
  <c r="S114" i="13"/>
  <c r="T114" i="13"/>
  <c r="U114" i="13"/>
  <c r="J114" i="51"/>
  <c r="K114" i="51"/>
  <c r="L114" i="51"/>
  <c r="M114" i="51"/>
  <c r="N114" i="51"/>
  <c r="O114" i="51"/>
  <c r="P114" i="51"/>
  <c r="Q114" i="51"/>
  <c r="R114" i="51"/>
  <c r="S114" i="51"/>
  <c r="T114" i="51"/>
  <c r="U114" i="51"/>
  <c r="D114" i="26" l="1"/>
  <c r="R114" i="26"/>
  <c r="S114" i="26"/>
  <c r="T114" i="26"/>
  <c r="U114" i="26"/>
  <c r="U60" i="26"/>
  <c r="T60" i="26"/>
  <c r="S60" i="26"/>
  <c r="R60" i="26"/>
  <c r="Q60" i="26"/>
  <c r="P60" i="26"/>
  <c r="O60" i="26"/>
  <c r="N60" i="26"/>
  <c r="M60" i="26"/>
  <c r="L60" i="26"/>
  <c r="K60" i="26"/>
  <c r="J60" i="26"/>
  <c r="I60" i="26"/>
  <c r="H60" i="26"/>
  <c r="G60" i="26"/>
  <c r="F60" i="26"/>
  <c r="E60" i="26"/>
  <c r="D60" i="26"/>
  <c r="L114" i="15"/>
  <c r="M114" i="15"/>
  <c r="N114" i="15"/>
  <c r="O114" i="15"/>
  <c r="P114" i="15"/>
  <c r="Q114" i="15"/>
  <c r="R114" i="15"/>
  <c r="S114" i="15"/>
  <c r="T114" i="15"/>
  <c r="U114" i="15"/>
  <c r="U60" i="15"/>
  <c r="T60" i="15"/>
  <c r="S60" i="15"/>
  <c r="R60" i="15"/>
  <c r="Q60" i="15"/>
  <c r="P60" i="15"/>
  <c r="O60" i="15"/>
  <c r="N60" i="15"/>
  <c r="M60" i="15"/>
  <c r="L60" i="15"/>
  <c r="K60" i="15"/>
  <c r="J60" i="15"/>
  <c r="I60" i="15"/>
  <c r="H60" i="15"/>
  <c r="G60" i="15"/>
  <c r="F60" i="15"/>
  <c r="E60" i="15"/>
  <c r="D60" i="15"/>
  <c r="M114" i="36"/>
  <c r="N114" i="36"/>
  <c r="O114" i="36"/>
  <c r="P114" i="36"/>
  <c r="Q114" i="36"/>
  <c r="R114" i="36"/>
  <c r="S114" i="36"/>
  <c r="T114" i="36"/>
  <c r="U114" i="36"/>
  <c r="U60" i="36"/>
  <c r="T60" i="36"/>
  <c r="S60" i="36"/>
  <c r="R60" i="36"/>
  <c r="Q60" i="36"/>
  <c r="P60" i="36"/>
  <c r="O60" i="36"/>
  <c r="N60" i="36"/>
  <c r="M60" i="36"/>
  <c r="L60" i="36"/>
  <c r="K60" i="36"/>
  <c r="J60" i="36"/>
  <c r="I60" i="36"/>
  <c r="H60" i="36"/>
  <c r="G60" i="36"/>
  <c r="F60" i="36"/>
  <c r="E60" i="36"/>
  <c r="D60" i="36"/>
  <c r="L114" i="38" l="1"/>
  <c r="M114" i="38"/>
  <c r="N114" i="38"/>
  <c r="O114" i="38"/>
  <c r="P114" i="38"/>
  <c r="Q114" i="38"/>
  <c r="R114" i="38"/>
  <c r="S114" i="38"/>
  <c r="T114" i="38"/>
  <c r="U114" i="38"/>
  <c r="L114" i="27"/>
  <c r="M114" i="27"/>
  <c r="N114" i="27"/>
  <c r="O114" i="27"/>
  <c r="P114" i="27"/>
  <c r="Q114" i="27"/>
  <c r="R114" i="27"/>
  <c r="S114" i="27"/>
  <c r="T114" i="27"/>
  <c r="U114" i="27"/>
  <c r="L114" i="40"/>
  <c r="M114" i="40"/>
  <c r="N114" i="40"/>
  <c r="O114" i="40"/>
  <c r="P114" i="40"/>
  <c r="Q114" i="40"/>
  <c r="R114" i="40"/>
  <c r="S114" i="40"/>
  <c r="T114" i="40"/>
  <c r="U114" i="40"/>
  <c r="U60" i="40"/>
  <c r="T60" i="40"/>
  <c r="S60" i="40"/>
  <c r="R60" i="40"/>
  <c r="Q60" i="40"/>
  <c r="P60" i="40"/>
  <c r="O60" i="40"/>
  <c r="N60" i="40"/>
  <c r="M60" i="40"/>
  <c r="L60" i="40"/>
  <c r="K60" i="40"/>
  <c r="J60" i="40"/>
  <c r="I60" i="40"/>
  <c r="H60" i="40"/>
  <c r="G60" i="40"/>
  <c r="F60" i="40"/>
  <c r="E60" i="40"/>
  <c r="D60" i="40"/>
  <c r="U60" i="38"/>
  <c r="T60" i="38"/>
  <c r="S60" i="38"/>
  <c r="R60" i="38"/>
  <c r="Q60" i="38"/>
  <c r="P60" i="38"/>
  <c r="O60" i="38"/>
  <c r="N60" i="38"/>
  <c r="M60" i="38"/>
  <c r="L60" i="38"/>
  <c r="K60" i="38"/>
  <c r="J60" i="38"/>
  <c r="I60" i="38"/>
  <c r="H60" i="38"/>
  <c r="G60" i="38"/>
  <c r="F60" i="38"/>
  <c r="E60" i="38"/>
  <c r="D60" i="38"/>
  <c r="U60" i="27"/>
  <c r="T60" i="27"/>
  <c r="S60" i="27"/>
  <c r="R60" i="27"/>
  <c r="Q60" i="27"/>
  <c r="P60" i="27"/>
  <c r="O60" i="27"/>
  <c r="N60" i="27"/>
  <c r="M60" i="27"/>
  <c r="L60" i="27"/>
  <c r="K60" i="27"/>
  <c r="J60" i="27"/>
  <c r="I60" i="27"/>
  <c r="H60" i="27"/>
  <c r="G60" i="27"/>
  <c r="F60" i="27"/>
  <c r="E60" i="27"/>
  <c r="D60" i="27"/>
  <c r="H114" i="39"/>
  <c r="I114" i="39"/>
  <c r="J114" i="39"/>
  <c r="K114" i="39"/>
  <c r="L114" i="39"/>
  <c r="M114" i="39"/>
  <c r="N114" i="39"/>
  <c r="O114" i="39"/>
  <c r="P114" i="39"/>
  <c r="Q114" i="39"/>
  <c r="R114" i="39"/>
  <c r="S114" i="39"/>
  <c r="T114" i="39"/>
  <c r="U114" i="39"/>
  <c r="U60" i="39"/>
  <c r="T60" i="39"/>
  <c r="S60" i="39"/>
  <c r="R60" i="39"/>
  <c r="Q60" i="39"/>
  <c r="P60" i="39"/>
  <c r="O60" i="39"/>
  <c r="N60" i="39"/>
  <c r="M60" i="39"/>
  <c r="L60" i="39"/>
  <c r="K60" i="39"/>
  <c r="J60" i="39"/>
  <c r="I60" i="39"/>
  <c r="H60" i="39"/>
  <c r="G60" i="39"/>
  <c r="F60" i="39"/>
  <c r="E60" i="39"/>
  <c r="D60" i="39"/>
  <c r="H114" i="37"/>
  <c r="I114" i="37"/>
  <c r="J114" i="37"/>
  <c r="K114" i="37"/>
  <c r="L114" i="37"/>
  <c r="M114" i="37"/>
  <c r="N114" i="37"/>
  <c r="O114" i="37"/>
  <c r="P114" i="37"/>
  <c r="Q114" i="37"/>
  <c r="R114" i="37"/>
  <c r="S114" i="37"/>
  <c r="T114" i="37"/>
  <c r="U114" i="37"/>
  <c r="U60" i="37"/>
  <c r="T60" i="37"/>
  <c r="S60" i="37"/>
  <c r="R60" i="37"/>
  <c r="Q60" i="37"/>
  <c r="P60" i="37"/>
  <c r="O60" i="37"/>
  <c r="N60" i="37"/>
  <c r="M60" i="37"/>
  <c r="L60" i="37"/>
  <c r="K60" i="37"/>
  <c r="J60" i="37"/>
  <c r="I60" i="37"/>
  <c r="H60" i="37"/>
  <c r="G60" i="37"/>
  <c r="F60" i="37"/>
  <c r="E60" i="37"/>
  <c r="D60" i="37"/>
  <c r="H114" i="28"/>
  <c r="I114" i="28"/>
  <c r="J114" i="28"/>
  <c r="K114" i="28"/>
  <c r="L114" i="28"/>
  <c r="M114" i="28"/>
  <c r="N114" i="28"/>
  <c r="O114" i="28"/>
  <c r="P114" i="28"/>
  <c r="Q114" i="28"/>
  <c r="R114" i="28"/>
  <c r="S114" i="28"/>
  <c r="T114" i="28"/>
  <c r="U114" i="28"/>
  <c r="U60" i="28"/>
  <c r="T60" i="28"/>
  <c r="S60" i="28"/>
  <c r="R60" i="28"/>
  <c r="Q60" i="28"/>
  <c r="P60" i="28"/>
  <c r="O60" i="28"/>
  <c r="N60" i="28"/>
  <c r="M60" i="28"/>
  <c r="L60" i="28"/>
  <c r="K60" i="28"/>
  <c r="J60" i="28"/>
  <c r="I60" i="28"/>
  <c r="H60" i="28"/>
  <c r="G60" i="28"/>
  <c r="F60" i="28"/>
  <c r="E60" i="28"/>
  <c r="D60" i="28"/>
  <c r="J114" i="64" l="1"/>
  <c r="K114" i="64"/>
  <c r="L114" i="64"/>
  <c r="M114" i="64"/>
  <c r="N114" i="64"/>
  <c r="O114" i="64"/>
  <c r="P114" i="64"/>
  <c r="Q114" i="64"/>
  <c r="R114" i="64"/>
  <c r="S114" i="64"/>
  <c r="T114" i="64"/>
  <c r="U114" i="64"/>
  <c r="J114" i="63"/>
  <c r="K114" i="63"/>
  <c r="L114" i="63"/>
  <c r="M114" i="63"/>
  <c r="N114" i="63"/>
  <c r="O114" i="63"/>
  <c r="P114" i="63"/>
  <c r="Q114" i="63"/>
  <c r="R114" i="63"/>
  <c r="S114" i="63"/>
  <c r="T114" i="63"/>
  <c r="U114" i="63"/>
  <c r="J114" i="62"/>
  <c r="K114" i="62"/>
  <c r="L114" i="62"/>
  <c r="M114" i="62"/>
  <c r="N114" i="62"/>
  <c r="O114" i="62"/>
  <c r="P114" i="62"/>
  <c r="Q114" i="62"/>
  <c r="R114" i="62"/>
  <c r="S114" i="62"/>
  <c r="T114" i="62"/>
  <c r="U114" i="62"/>
  <c r="J114" i="61"/>
  <c r="K114" i="61"/>
  <c r="L114" i="61"/>
  <c r="M114" i="61"/>
  <c r="N114" i="61"/>
  <c r="O114" i="61"/>
  <c r="P114" i="61"/>
  <c r="Q114" i="61"/>
  <c r="R114" i="61"/>
  <c r="S114" i="61"/>
  <c r="T114" i="61"/>
  <c r="U114" i="61"/>
  <c r="J114" i="60"/>
  <c r="K114" i="60"/>
  <c r="L114" i="60"/>
  <c r="M114" i="60"/>
  <c r="N114" i="60"/>
  <c r="O114" i="60"/>
  <c r="P114" i="60"/>
  <c r="Q114" i="60"/>
  <c r="R114" i="60"/>
  <c r="S114" i="60"/>
  <c r="T114" i="60"/>
  <c r="U114" i="60"/>
  <c r="J114" i="59"/>
  <c r="K114" i="59"/>
  <c r="L114" i="59"/>
  <c r="M114" i="59"/>
  <c r="N114" i="59"/>
  <c r="O114" i="59"/>
  <c r="P114" i="59"/>
  <c r="Q114" i="59"/>
  <c r="R114" i="59"/>
  <c r="S114" i="59"/>
  <c r="T114" i="59"/>
  <c r="U114" i="59"/>
  <c r="L114" i="14"/>
  <c r="M114" i="14"/>
  <c r="N114" i="14"/>
  <c r="O114" i="14"/>
  <c r="P114" i="14"/>
  <c r="Q114" i="14"/>
  <c r="R114" i="14"/>
  <c r="S114" i="14"/>
  <c r="T114" i="14"/>
  <c r="U114" i="14"/>
  <c r="J114" i="58"/>
  <c r="K114" i="58"/>
  <c r="L114" i="58"/>
  <c r="M114" i="58"/>
  <c r="N114" i="58"/>
  <c r="O114" i="58"/>
  <c r="P114" i="58"/>
  <c r="Q114" i="58"/>
  <c r="R114" i="58"/>
  <c r="S114" i="58"/>
  <c r="T114" i="58"/>
  <c r="U114" i="58"/>
  <c r="J114" i="57"/>
  <c r="K114" i="57"/>
  <c r="L114" i="57"/>
  <c r="M114" i="57"/>
  <c r="N114" i="57"/>
  <c r="O114" i="57"/>
  <c r="P114" i="57"/>
  <c r="Q114" i="57"/>
  <c r="R114" i="57"/>
  <c r="S114" i="57"/>
  <c r="T114" i="57"/>
  <c r="U114" i="57"/>
  <c r="J114" i="54"/>
  <c r="K114" i="54"/>
  <c r="L114" i="54"/>
  <c r="M114" i="54"/>
  <c r="N114" i="54"/>
  <c r="O114" i="54"/>
  <c r="P114" i="54"/>
  <c r="Q114" i="54"/>
  <c r="R114" i="54"/>
  <c r="S114" i="54"/>
  <c r="T114" i="54"/>
  <c r="U114" i="54"/>
  <c r="J114" i="53"/>
  <c r="K114" i="53"/>
  <c r="L114" i="53"/>
  <c r="M114" i="53"/>
  <c r="N114" i="53"/>
  <c r="O114" i="53"/>
  <c r="P114" i="53"/>
  <c r="Q114" i="53"/>
  <c r="R114" i="53"/>
  <c r="S114" i="53"/>
  <c r="T114" i="53"/>
  <c r="U114" i="53"/>
  <c r="J114" i="52"/>
  <c r="K114" i="52"/>
  <c r="L114" i="52"/>
  <c r="M114" i="52"/>
  <c r="N114" i="52"/>
  <c r="O114" i="52"/>
  <c r="P114" i="52"/>
  <c r="Q114" i="52"/>
  <c r="R114" i="52"/>
  <c r="S114" i="52"/>
  <c r="T114" i="52"/>
  <c r="U114" i="52"/>
  <c r="U60" i="64"/>
  <c r="T60" i="64"/>
  <c r="S60" i="64"/>
  <c r="R60" i="64"/>
  <c r="Q60" i="64"/>
  <c r="P60" i="64"/>
  <c r="O60" i="64"/>
  <c r="N60" i="64"/>
  <c r="M60" i="64"/>
  <c r="L60" i="64"/>
  <c r="K60" i="64"/>
  <c r="J60" i="64"/>
  <c r="I60" i="64"/>
  <c r="H60" i="64"/>
  <c r="G60" i="64"/>
  <c r="F60" i="64"/>
  <c r="E60" i="64"/>
  <c r="D60" i="64"/>
  <c r="U60" i="63"/>
  <c r="T60" i="63"/>
  <c r="S60" i="63"/>
  <c r="R60" i="63"/>
  <c r="Q60" i="63"/>
  <c r="P60" i="63"/>
  <c r="O60" i="63"/>
  <c r="N60" i="63"/>
  <c r="M60" i="63"/>
  <c r="L60" i="63"/>
  <c r="K60" i="63"/>
  <c r="J60" i="63"/>
  <c r="I60" i="63"/>
  <c r="H60" i="63"/>
  <c r="G60" i="63"/>
  <c r="F60" i="63"/>
  <c r="E60" i="63"/>
  <c r="D60" i="63"/>
  <c r="U60" i="62"/>
  <c r="T60" i="62"/>
  <c r="S60" i="62"/>
  <c r="R60" i="62"/>
  <c r="Q60" i="62"/>
  <c r="P60" i="62"/>
  <c r="O60" i="62"/>
  <c r="N60" i="62"/>
  <c r="M60" i="62"/>
  <c r="L60" i="62"/>
  <c r="K60" i="62"/>
  <c r="J60" i="62"/>
  <c r="I60" i="62"/>
  <c r="H60" i="62"/>
  <c r="G60" i="62"/>
  <c r="F60" i="62"/>
  <c r="E60" i="62"/>
  <c r="D60" i="62"/>
  <c r="U60" i="61"/>
  <c r="T60" i="61"/>
  <c r="S60" i="61"/>
  <c r="R60" i="61"/>
  <c r="Q60" i="61"/>
  <c r="P60" i="61"/>
  <c r="O60" i="61"/>
  <c r="N60" i="61"/>
  <c r="M60" i="61"/>
  <c r="L60" i="61"/>
  <c r="K60" i="61"/>
  <c r="J60" i="61"/>
  <c r="I60" i="61"/>
  <c r="H60" i="61"/>
  <c r="G60" i="61"/>
  <c r="F60" i="61"/>
  <c r="E60" i="61"/>
  <c r="D60" i="61"/>
  <c r="U60" i="60"/>
  <c r="T60" i="60"/>
  <c r="S60" i="60"/>
  <c r="R60" i="60"/>
  <c r="Q60" i="60"/>
  <c r="P60" i="60"/>
  <c r="O60" i="60"/>
  <c r="N60" i="60"/>
  <c r="M60" i="60"/>
  <c r="L60" i="60"/>
  <c r="K60" i="60"/>
  <c r="J60" i="60"/>
  <c r="I60" i="60"/>
  <c r="H60" i="60"/>
  <c r="G60" i="60"/>
  <c r="F60" i="60"/>
  <c r="E60" i="60"/>
  <c r="D60" i="60"/>
  <c r="U60" i="59"/>
  <c r="T60" i="59"/>
  <c r="S60" i="59"/>
  <c r="R60" i="59"/>
  <c r="Q60" i="59"/>
  <c r="P60" i="59"/>
  <c r="O60" i="59"/>
  <c r="N60" i="59"/>
  <c r="M60" i="59"/>
  <c r="L60" i="59"/>
  <c r="K60" i="59"/>
  <c r="J60" i="59"/>
  <c r="I60" i="59"/>
  <c r="H60" i="59"/>
  <c r="G60" i="59"/>
  <c r="F60" i="59"/>
  <c r="E60" i="59"/>
  <c r="D60" i="59"/>
  <c r="U60" i="14"/>
  <c r="T60" i="14"/>
  <c r="S60" i="14"/>
  <c r="R60" i="14"/>
  <c r="Q60" i="14"/>
  <c r="P60" i="14"/>
  <c r="O60" i="14"/>
  <c r="N60" i="14"/>
  <c r="M60" i="14"/>
  <c r="L60" i="14"/>
  <c r="K60" i="14"/>
  <c r="J60" i="14"/>
  <c r="I60" i="14"/>
  <c r="H60" i="14"/>
  <c r="G60" i="14"/>
  <c r="F60" i="14"/>
  <c r="E60" i="14"/>
  <c r="D60" i="14"/>
  <c r="U60" i="58"/>
  <c r="T60" i="58"/>
  <c r="S60" i="58"/>
  <c r="R60" i="58"/>
  <c r="Q60" i="58"/>
  <c r="P60" i="58"/>
  <c r="O60" i="58"/>
  <c r="N60" i="58"/>
  <c r="M60" i="58"/>
  <c r="L60" i="58"/>
  <c r="K60" i="58"/>
  <c r="J60" i="58"/>
  <c r="I60" i="58"/>
  <c r="H60" i="58"/>
  <c r="G60" i="58"/>
  <c r="F60" i="58"/>
  <c r="E60" i="58"/>
  <c r="D60" i="58"/>
  <c r="U60" i="57"/>
  <c r="T60" i="57"/>
  <c r="S60" i="57"/>
  <c r="R60" i="57"/>
  <c r="Q60" i="57"/>
  <c r="P60" i="57"/>
  <c r="O60" i="57"/>
  <c r="N60" i="57"/>
  <c r="M60" i="57"/>
  <c r="L60" i="57"/>
  <c r="K60" i="57"/>
  <c r="J60" i="57"/>
  <c r="I60" i="57"/>
  <c r="H60" i="57"/>
  <c r="G60" i="57"/>
  <c r="F60" i="57"/>
  <c r="E60" i="57"/>
  <c r="D60" i="57"/>
  <c r="U60" i="54"/>
  <c r="T60" i="54"/>
  <c r="S60" i="54"/>
  <c r="R60" i="54"/>
  <c r="Q60" i="54"/>
  <c r="P60" i="54"/>
  <c r="O60" i="54"/>
  <c r="N60" i="54"/>
  <c r="M60" i="54"/>
  <c r="L60" i="54"/>
  <c r="K60" i="54"/>
  <c r="J60" i="54"/>
  <c r="I60" i="54"/>
  <c r="H60" i="54"/>
  <c r="G60" i="54"/>
  <c r="F60" i="54"/>
  <c r="E60" i="54"/>
  <c r="D60" i="54"/>
  <c r="U60" i="53"/>
  <c r="T60" i="53"/>
  <c r="S60" i="53"/>
  <c r="R60" i="53"/>
  <c r="Q60" i="53"/>
  <c r="P60" i="53"/>
  <c r="O60" i="53"/>
  <c r="N60" i="53"/>
  <c r="M60" i="53"/>
  <c r="L60" i="53"/>
  <c r="K60" i="53"/>
  <c r="J60" i="53"/>
  <c r="I60" i="53"/>
  <c r="H60" i="53"/>
  <c r="G60" i="53"/>
  <c r="F60" i="53"/>
  <c r="E60" i="53"/>
  <c r="D60" i="53"/>
  <c r="U60" i="52"/>
  <c r="T60" i="52"/>
  <c r="S60" i="52"/>
  <c r="R60" i="52"/>
  <c r="Q60" i="52"/>
  <c r="P60" i="52"/>
  <c r="O60" i="52"/>
  <c r="N60" i="52"/>
  <c r="M60" i="52"/>
  <c r="L60" i="52"/>
  <c r="K60" i="52"/>
  <c r="J60" i="52"/>
  <c r="I60" i="52"/>
  <c r="H60" i="52"/>
  <c r="G60" i="52"/>
  <c r="F60" i="52"/>
  <c r="E60" i="52"/>
  <c r="D60" i="52"/>
  <c r="U60" i="51"/>
  <c r="T60" i="51"/>
  <c r="S60" i="51"/>
  <c r="R60" i="51"/>
  <c r="Q60" i="51"/>
  <c r="P60" i="51"/>
  <c r="O60" i="51"/>
  <c r="N60" i="51"/>
  <c r="M60" i="51"/>
  <c r="L60" i="51"/>
  <c r="K60" i="51"/>
  <c r="J60" i="51"/>
  <c r="I60" i="51"/>
  <c r="H60" i="51"/>
  <c r="G60" i="51"/>
  <c r="F60" i="51"/>
  <c r="E60" i="51"/>
  <c r="D60" i="51"/>
  <c r="U60" i="13"/>
  <c r="T60" i="13"/>
  <c r="S60" i="13"/>
  <c r="R60" i="13"/>
  <c r="Q60" i="13"/>
  <c r="P60" i="13"/>
  <c r="O60" i="13"/>
  <c r="N60" i="13"/>
  <c r="M60" i="13"/>
  <c r="L60" i="13"/>
  <c r="K60" i="13"/>
  <c r="J60" i="13"/>
  <c r="I60" i="13"/>
  <c r="H60" i="13"/>
  <c r="G60" i="13"/>
  <c r="F60" i="13"/>
  <c r="E60" i="13"/>
  <c r="D60" i="13"/>
  <c r="U60" i="48"/>
  <c r="T60" i="48"/>
  <c r="S60" i="48"/>
  <c r="R60" i="48"/>
  <c r="Q60" i="48"/>
  <c r="P60" i="48"/>
  <c r="O60" i="48"/>
  <c r="N60" i="48"/>
  <c r="M60" i="48"/>
  <c r="L60" i="48"/>
  <c r="K60" i="48"/>
  <c r="J60" i="48"/>
  <c r="I60" i="48"/>
  <c r="H60" i="48"/>
  <c r="G60" i="48"/>
  <c r="F60" i="48"/>
  <c r="E60" i="48"/>
  <c r="D60" i="48"/>
  <c r="U60" i="47"/>
  <c r="T60" i="47"/>
  <c r="S60" i="47"/>
  <c r="R60" i="47"/>
  <c r="Q60" i="47"/>
  <c r="P60" i="47"/>
  <c r="O60" i="47"/>
  <c r="N60" i="47"/>
  <c r="M60" i="47"/>
  <c r="L60" i="47"/>
  <c r="K60" i="47"/>
  <c r="J60" i="47"/>
  <c r="I60" i="47"/>
  <c r="H60" i="47"/>
  <c r="G60" i="47"/>
  <c r="F60" i="47"/>
  <c r="E60" i="47"/>
  <c r="D60" i="47"/>
  <c r="U60" i="46"/>
  <c r="T60" i="46"/>
  <c r="S60" i="46"/>
  <c r="R60" i="46"/>
  <c r="Q60" i="46"/>
  <c r="P60" i="46"/>
  <c r="O60" i="46"/>
  <c r="N60" i="46"/>
  <c r="M60" i="46"/>
  <c r="L60" i="46"/>
  <c r="K60" i="46"/>
  <c r="J60" i="46"/>
  <c r="I60" i="46"/>
  <c r="H60" i="46"/>
  <c r="G60" i="46"/>
  <c r="F60" i="46"/>
  <c r="E60" i="46"/>
  <c r="D60" i="46"/>
  <c r="U60" i="45"/>
  <c r="T60" i="45"/>
  <c r="S60" i="45"/>
  <c r="R60" i="45"/>
  <c r="Q60" i="45"/>
  <c r="P60" i="45"/>
  <c r="O60" i="45"/>
  <c r="N60" i="45"/>
  <c r="M60" i="45"/>
  <c r="L60" i="45"/>
  <c r="K60" i="45"/>
  <c r="J60" i="45"/>
  <c r="I60" i="45"/>
  <c r="H60" i="45"/>
  <c r="G60" i="45"/>
  <c r="F60" i="45"/>
  <c r="E60" i="45"/>
  <c r="D60" i="45"/>
  <c r="U60" i="44"/>
  <c r="T60" i="44"/>
  <c r="S60" i="44"/>
  <c r="R60" i="44"/>
  <c r="Q60" i="44"/>
  <c r="P60" i="44"/>
  <c r="O60" i="44"/>
  <c r="N60" i="44"/>
  <c r="M60" i="44"/>
  <c r="L60" i="44"/>
  <c r="K60" i="44"/>
  <c r="J60" i="44"/>
  <c r="I60" i="44"/>
  <c r="H60" i="44"/>
  <c r="G60" i="44"/>
  <c r="F60" i="44"/>
  <c r="E60" i="44"/>
  <c r="D60" i="44"/>
  <c r="U60" i="43"/>
  <c r="T60" i="43"/>
  <c r="S60" i="43"/>
  <c r="R60" i="43"/>
  <c r="Q60" i="43"/>
  <c r="P60" i="43"/>
  <c r="O60" i="43"/>
  <c r="N60" i="43"/>
  <c r="M60" i="43"/>
  <c r="L60" i="43"/>
  <c r="K60" i="43"/>
  <c r="J60" i="43"/>
  <c r="I60" i="43"/>
  <c r="H60" i="43"/>
  <c r="G60" i="43"/>
  <c r="F60" i="43"/>
  <c r="E60" i="43"/>
  <c r="D60" i="43"/>
  <c r="T114" i="10"/>
  <c r="U114" i="10"/>
  <c r="U60" i="10"/>
  <c r="T60" i="10"/>
  <c r="S60" i="10"/>
  <c r="R60" i="10"/>
  <c r="Q60" i="10"/>
  <c r="P60" i="10"/>
  <c r="O60" i="10"/>
  <c r="N60" i="10"/>
  <c r="M60" i="10"/>
  <c r="L60" i="10"/>
  <c r="K60" i="10"/>
  <c r="J60" i="10"/>
  <c r="I60" i="10"/>
  <c r="H60" i="10"/>
  <c r="G60" i="10"/>
  <c r="F60" i="10"/>
  <c r="E60" i="10"/>
  <c r="D60" i="10"/>
  <c r="Q114" i="44" l="1"/>
  <c r="Q114" i="43"/>
  <c r="R114" i="43"/>
  <c r="J114" i="47"/>
  <c r="K114" i="47"/>
  <c r="J114" i="46"/>
  <c r="K114" i="46"/>
  <c r="L114" i="46"/>
  <c r="M114" i="46"/>
  <c r="J114" i="45"/>
  <c r="K114" i="45"/>
  <c r="L114" i="45"/>
  <c r="M114" i="45"/>
  <c r="N114" i="45"/>
  <c r="O114" i="45"/>
  <c r="J114" i="44"/>
  <c r="K114" i="44"/>
  <c r="L114" i="44"/>
  <c r="M114" i="44"/>
  <c r="N114" i="44"/>
  <c r="O114" i="44"/>
  <c r="P114" i="44"/>
  <c r="J114" i="43"/>
  <c r="K114" i="43"/>
  <c r="L114" i="43"/>
  <c r="M114" i="43"/>
  <c r="N114" i="43"/>
  <c r="O114" i="43"/>
  <c r="P114" i="43"/>
  <c r="M114" i="10" l="1"/>
  <c r="N114" i="10"/>
  <c r="O114" i="10"/>
  <c r="P114" i="10"/>
  <c r="Q114" i="10"/>
  <c r="R114" i="10"/>
  <c r="S114" i="10"/>
  <c r="C6" i="7" l="1"/>
  <c r="E6" i="7" s="1"/>
  <c r="B25" i="65"/>
  <c r="B26" i="65" s="1"/>
  <c r="B27" i="65" s="1"/>
  <c r="B28" i="65" s="1"/>
  <c r="B29" i="65" s="1"/>
  <c r="B30" i="65" s="1"/>
  <c r="B31" i="65" s="1"/>
  <c r="B32" i="65" s="1"/>
  <c r="B15" i="65"/>
  <c r="B16" i="65" s="1"/>
  <c r="B17" i="65" s="1"/>
  <c r="B18" i="65" s="1"/>
  <c r="B19" i="65" s="1"/>
  <c r="B20" i="65" s="1"/>
  <c r="B21" i="65" s="1"/>
  <c r="B22" i="65" s="1"/>
  <c r="B5" i="65"/>
  <c r="B6" i="65" s="1"/>
  <c r="B7" i="65" s="1"/>
  <c r="B8" i="65" s="1"/>
  <c r="B9" i="65" s="1"/>
  <c r="B10" i="65" s="1"/>
  <c r="B11" i="65" s="1"/>
  <c r="B12" i="65" s="1"/>
  <c r="J7" i="40"/>
  <c r="J7" i="39"/>
  <c r="J7" i="38"/>
  <c r="J7" i="37"/>
  <c r="J7" i="27"/>
  <c r="J7" i="28"/>
  <c r="V67" i="7"/>
  <c r="V68" i="7"/>
  <c r="V69" i="7"/>
  <c r="V70" i="7"/>
  <c r="V71" i="7"/>
  <c r="V72" i="7"/>
  <c r="V73" i="7"/>
  <c r="V74" i="7"/>
  <c r="V55" i="7"/>
  <c r="V56" i="7"/>
  <c r="V57" i="7"/>
  <c r="V58" i="7"/>
  <c r="V59" i="7"/>
  <c r="V60" i="7"/>
  <c r="V61" i="7"/>
  <c r="V62" i="7"/>
  <c r="V43" i="7"/>
  <c r="V44" i="7"/>
  <c r="V45" i="7"/>
  <c r="V46" i="7"/>
  <c r="V47" i="7"/>
  <c r="V48" i="7"/>
  <c r="V49" i="7"/>
  <c r="V50" i="7"/>
  <c r="AB112" i="11" l="1"/>
  <c r="AA112" i="11"/>
  <c r="Z112" i="11"/>
  <c r="Y112" i="11"/>
  <c r="X112" i="11"/>
  <c r="W112" i="11"/>
  <c r="V112" i="11"/>
  <c r="U112" i="11"/>
  <c r="S112" i="11"/>
  <c r="R112" i="11"/>
  <c r="Q112" i="11"/>
  <c r="P112" i="11"/>
  <c r="O112" i="11"/>
  <c r="N112" i="11"/>
  <c r="M112" i="11"/>
  <c r="L112" i="11"/>
  <c r="V66" i="7" l="1"/>
  <c r="U66" i="7"/>
  <c r="U67" i="7" s="1"/>
  <c r="U68" i="7" s="1"/>
  <c r="U69" i="7" s="1"/>
  <c r="U70" i="7" s="1"/>
  <c r="U71" i="7" s="1"/>
  <c r="U72" i="7" s="1"/>
  <c r="U73" i="7" s="1"/>
  <c r="U74" i="7" s="1"/>
  <c r="V54" i="7"/>
  <c r="U54" i="7"/>
  <c r="U55" i="7" s="1"/>
  <c r="U56" i="7" s="1"/>
  <c r="U57" i="7" s="1"/>
  <c r="U58" i="7" s="1"/>
  <c r="U59" i="7" s="1"/>
  <c r="U60" i="7" s="1"/>
  <c r="U61" i="7" s="1"/>
  <c r="U62" i="7" s="1"/>
  <c r="V42" i="7"/>
  <c r="U42" i="7"/>
  <c r="U43" i="7" s="1"/>
  <c r="U44" i="7" s="1"/>
  <c r="U45" i="7" s="1"/>
  <c r="U46" i="7" s="1"/>
  <c r="U47" i="7" s="1"/>
  <c r="U48" i="7" s="1"/>
  <c r="U49" i="7" s="1"/>
  <c r="U50" i="7" s="1"/>
  <c r="V31" i="7"/>
  <c r="V32" i="7"/>
  <c r="V33" i="7"/>
  <c r="V34" i="7"/>
  <c r="V35" i="7"/>
  <c r="V36" i="7"/>
  <c r="V37" i="7"/>
  <c r="V38" i="7"/>
  <c r="V30" i="7"/>
  <c r="U30" i="7"/>
  <c r="U31" i="7" s="1"/>
  <c r="U32" i="7" s="1"/>
  <c r="U33" i="7" s="1"/>
  <c r="U34" i="7" s="1"/>
  <c r="U35" i="7" s="1"/>
  <c r="U36" i="7" s="1"/>
  <c r="U37" i="7" s="1"/>
  <c r="U38" i="7" s="1"/>
  <c r="V19" i="7"/>
  <c r="V20" i="7"/>
  <c r="V21" i="7"/>
  <c r="V22" i="7"/>
  <c r="V23" i="7"/>
  <c r="V24" i="7"/>
  <c r="V25" i="7"/>
  <c r="V26" i="7"/>
  <c r="V18" i="7"/>
  <c r="U18" i="7"/>
  <c r="U19" i="7" s="1"/>
  <c r="U20" i="7" s="1"/>
  <c r="U21" i="7" s="1"/>
  <c r="U22" i="7" s="1"/>
  <c r="U23" i="7" s="1"/>
  <c r="U24" i="7" s="1"/>
  <c r="U25" i="7" s="1"/>
  <c r="U26" i="7" s="1"/>
  <c r="U6" i="7"/>
  <c r="U7" i="7" s="1"/>
  <c r="U8" i="7" s="1"/>
  <c r="U9" i="7" s="1"/>
  <c r="U10" i="7" s="1"/>
  <c r="U11" i="7" s="1"/>
  <c r="U12" i="7" s="1"/>
  <c r="U13" i="7" s="1"/>
  <c r="U14" i="7" s="1"/>
  <c r="V7" i="7"/>
  <c r="V8" i="7"/>
  <c r="V9" i="7"/>
  <c r="V10" i="7"/>
  <c r="V11" i="7"/>
  <c r="V12" i="7"/>
  <c r="V13" i="7"/>
  <c r="V14" i="7"/>
  <c r="V6" i="7"/>
  <c r="I114" i="64"/>
  <c r="H114" i="64"/>
  <c r="G114" i="64"/>
  <c r="F114" i="64"/>
  <c r="E114" i="64"/>
  <c r="D114" i="64"/>
  <c r="I114" i="63"/>
  <c r="H114" i="63"/>
  <c r="G114" i="63"/>
  <c r="F114" i="63"/>
  <c r="E114" i="63"/>
  <c r="D114" i="63"/>
  <c r="I114" i="62"/>
  <c r="H114" i="62"/>
  <c r="G114" i="62"/>
  <c r="F114" i="62"/>
  <c r="E114" i="62"/>
  <c r="D114" i="62"/>
  <c r="I114" i="61"/>
  <c r="H114" i="61"/>
  <c r="G114" i="61"/>
  <c r="F114" i="61"/>
  <c r="E114" i="61"/>
  <c r="D114" i="61"/>
  <c r="I114" i="60"/>
  <c r="H114" i="60"/>
  <c r="G114" i="60"/>
  <c r="F114" i="60"/>
  <c r="E114" i="60"/>
  <c r="D114" i="60"/>
  <c r="I114" i="59"/>
  <c r="H114" i="59"/>
  <c r="G114" i="59"/>
  <c r="F114" i="59"/>
  <c r="E114" i="59"/>
  <c r="D114" i="59"/>
  <c r="I114" i="58"/>
  <c r="H114" i="58"/>
  <c r="G114" i="58"/>
  <c r="F114" i="58"/>
  <c r="E114" i="58"/>
  <c r="D114" i="58"/>
  <c r="I114" i="57"/>
  <c r="H114" i="57"/>
  <c r="G114" i="57"/>
  <c r="F114" i="57"/>
  <c r="E114" i="57"/>
  <c r="D114" i="57"/>
  <c r="I114" i="54" l="1"/>
  <c r="H114" i="54"/>
  <c r="G114" i="54"/>
  <c r="F114" i="54"/>
  <c r="E114" i="54"/>
  <c r="D114" i="54"/>
  <c r="I114" i="53"/>
  <c r="H114" i="53"/>
  <c r="G114" i="53"/>
  <c r="F114" i="53"/>
  <c r="E114" i="53"/>
  <c r="D114" i="53"/>
  <c r="I114" i="52"/>
  <c r="H114" i="52"/>
  <c r="G114" i="52"/>
  <c r="F114" i="52"/>
  <c r="E114" i="52"/>
  <c r="D114" i="52"/>
  <c r="I114" i="51"/>
  <c r="H114" i="51"/>
  <c r="G114" i="51"/>
  <c r="F114" i="51"/>
  <c r="E114" i="51"/>
  <c r="I114" i="48"/>
  <c r="H114" i="48"/>
  <c r="G114" i="48"/>
  <c r="F114" i="48"/>
  <c r="E114" i="48"/>
  <c r="D114" i="48"/>
  <c r="I114" i="47"/>
  <c r="H114" i="47"/>
  <c r="G114" i="47"/>
  <c r="F114" i="47"/>
  <c r="E114" i="47"/>
  <c r="D114" i="47"/>
  <c r="I114" i="46"/>
  <c r="H114" i="46"/>
  <c r="G114" i="46"/>
  <c r="F114" i="46"/>
  <c r="E114" i="46"/>
  <c r="D114" i="46"/>
  <c r="I114" i="45"/>
  <c r="H114" i="45"/>
  <c r="G114" i="45"/>
  <c r="F114" i="45"/>
  <c r="E114" i="45"/>
  <c r="D114" i="45"/>
  <c r="I114" i="44"/>
  <c r="H114" i="44"/>
  <c r="G114" i="44"/>
  <c r="F114" i="44"/>
  <c r="E114" i="44"/>
  <c r="D114" i="44"/>
  <c r="I114" i="43"/>
  <c r="H114" i="43"/>
  <c r="G114" i="43"/>
  <c r="F114" i="43"/>
  <c r="E114" i="43"/>
  <c r="D114" i="43"/>
  <c r="K114" i="40"/>
  <c r="J114" i="40"/>
  <c r="I114" i="40"/>
  <c r="H114" i="40"/>
  <c r="F114" i="40"/>
  <c r="E114" i="40"/>
  <c r="D114" i="40"/>
  <c r="F114" i="39"/>
  <c r="E114" i="39"/>
  <c r="K114" i="38"/>
  <c r="J114" i="38"/>
  <c r="I114" i="38"/>
  <c r="H114" i="38"/>
  <c r="F114" i="38"/>
  <c r="E114" i="38"/>
  <c r="F114" i="37"/>
  <c r="E114" i="37"/>
  <c r="D114" i="37"/>
  <c r="D114" i="51" l="1"/>
  <c r="D114" i="39"/>
  <c r="D114" i="38"/>
  <c r="M29" i="4"/>
  <c r="G114" i="40" l="1"/>
  <c r="G114" i="39"/>
  <c r="G114" i="38"/>
  <c r="G114" i="37"/>
  <c r="K112" i="11"/>
  <c r="T112" i="11"/>
  <c r="J112" i="11"/>
  <c r="I112" i="11"/>
  <c r="AD112" i="11"/>
  <c r="C112" i="11"/>
  <c r="D112" i="11"/>
  <c r="E112" i="11"/>
  <c r="F112" i="11"/>
  <c r="G112" i="11"/>
  <c r="H112" i="11"/>
  <c r="AE112" i="11"/>
  <c r="AH112" i="11"/>
  <c r="AI112" i="11"/>
  <c r="AJ112" i="11"/>
  <c r="AK112" i="11"/>
  <c r="AC112" i="11"/>
  <c r="L114" i="36"/>
  <c r="K114" i="36"/>
  <c r="J114" i="36"/>
  <c r="I114" i="36"/>
  <c r="H114" i="36"/>
  <c r="G114" i="36"/>
  <c r="F114" i="36"/>
  <c r="E114" i="36"/>
  <c r="D114" i="36"/>
  <c r="V17" i="7" l="1"/>
  <c r="V29" i="7" s="1"/>
  <c r="V41" i="7" s="1"/>
  <c r="V53" i="7" s="1"/>
  <c r="V65" i="7" s="1"/>
  <c r="V77" i="7" s="1"/>
  <c r="W17" i="7"/>
  <c r="W29" i="7" s="1"/>
  <c r="W41" i="7" s="1"/>
  <c r="W53" i="7" s="1"/>
  <c r="W65" i="7" s="1"/>
  <c r="W77" i="7" s="1"/>
  <c r="X17" i="7"/>
  <c r="X29" i="7" s="1"/>
  <c r="X41" i="7" s="1"/>
  <c r="X53" i="7" s="1"/>
  <c r="X65" i="7" s="1"/>
  <c r="X77" i="7" s="1"/>
  <c r="Y17" i="7"/>
  <c r="Y29" i="7" s="1"/>
  <c r="Y41" i="7" s="1"/>
  <c r="Y53" i="7" s="1"/>
  <c r="Y65" i="7" s="1"/>
  <c r="Y77" i="7" s="1"/>
  <c r="Z17" i="7"/>
  <c r="Z29" i="7" s="1"/>
  <c r="Z41" i="7" s="1"/>
  <c r="Z53" i="7" s="1"/>
  <c r="Z65" i="7" s="1"/>
  <c r="Z77" i="7" s="1"/>
  <c r="AA17" i="7"/>
  <c r="AA29" i="7" s="1"/>
  <c r="AA41" i="7" s="1"/>
  <c r="AA53" i="7" s="1"/>
  <c r="AA65" i="7" s="1"/>
  <c r="AA77" i="7" s="1"/>
  <c r="AB17" i="7"/>
  <c r="AB29" i="7" s="1"/>
  <c r="AB41" i="7" s="1"/>
  <c r="AB53" i="7" s="1"/>
  <c r="AB65" i="7" s="1"/>
  <c r="AB77" i="7" s="1"/>
  <c r="AC17" i="7"/>
  <c r="AC29" i="7" s="1"/>
  <c r="AC41" i="7" s="1"/>
  <c r="AC53" i="7" s="1"/>
  <c r="AC65" i="7" s="1"/>
  <c r="AC77" i="7" s="1"/>
  <c r="AF17" i="7"/>
  <c r="AF29" i="7" s="1"/>
  <c r="AF41" i="7" s="1"/>
  <c r="AF53" i="7" s="1"/>
  <c r="AF65" i="7" s="1"/>
  <c r="AF77" i="7" s="1"/>
  <c r="AG17" i="7"/>
  <c r="AG29" i="7" s="1"/>
  <c r="AG41" i="7" s="1"/>
  <c r="AG53" i="7" s="1"/>
  <c r="AG65" i="7" s="1"/>
  <c r="AG77" i="7" s="1"/>
  <c r="AH17" i="7"/>
  <c r="AH29" i="7" s="1"/>
  <c r="AH41" i="7" s="1"/>
  <c r="AH53" i="7" s="1"/>
  <c r="AH65" i="7" s="1"/>
  <c r="AH77" i="7" s="1"/>
  <c r="AI17" i="7"/>
  <c r="AI29" i="7" s="1"/>
  <c r="AI41" i="7" s="1"/>
  <c r="AI53" i="7" s="1"/>
  <c r="AI65" i="7" s="1"/>
  <c r="AI77" i="7" s="1"/>
  <c r="AJ17" i="7"/>
  <c r="AJ29" i="7" s="1"/>
  <c r="AJ41" i="7" s="1"/>
  <c r="AJ53" i="7" s="1"/>
  <c r="AJ65" i="7" s="1"/>
  <c r="AJ77" i="7" s="1"/>
  <c r="AK17" i="7"/>
  <c r="AK29" i="7" s="1"/>
  <c r="AK41" i="7" s="1"/>
  <c r="AK53" i="7" s="1"/>
  <c r="AK65" i="7" s="1"/>
  <c r="AK77" i="7" s="1"/>
  <c r="AN17" i="7"/>
  <c r="AN29" i="7" s="1"/>
  <c r="AN41" i="7" s="1"/>
  <c r="AN53" i="7" s="1"/>
  <c r="AN65" i="7" s="1"/>
  <c r="AN77" i="7" s="1"/>
  <c r="AO17" i="7"/>
  <c r="AO29" i="7" s="1"/>
  <c r="AO41" i="7" s="1"/>
  <c r="AO53" i="7" s="1"/>
  <c r="AO65" i="7" s="1"/>
  <c r="AO77" i="7" s="1"/>
  <c r="AP17" i="7"/>
  <c r="AP29" i="7" s="1"/>
  <c r="AP41" i="7" s="1"/>
  <c r="AP53" i="7" s="1"/>
  <c r="AP65" i="7" s="1"/>
  <c r="AP77" i="7" s="1"/>
  <c r="AQ17" i="7"/>
  <c r="AQ29" i="7" s="1"/>
  <c r="AQ41" i="7" s="1"/>
  <c r="AQ53" i="7" s="1"/>
  <c r="AQ65" i="7" s="1"/>
  <c r="AQ77" i="7" s="1"/>
  <c r="AR17" i="7"/>
  <c r="AR29" i="7" s="1"/>
  <c r="AR41" i="7" s="1"/>
  <c r="AR53" i="7" s="1"/>
  <c r="AR65" i="7" s="1"/>
  <c r="AR77" i="7" s="1"/>
  <c r="AS17" i="7"/>
  <c r="AS29" i="7" s="1"/>
  <c r="AS41" i="7" s="1"/>
  <c r="AS53" i="7" s="1"/>
  <c r="AS65" i="7" s="1"/>
  <c r="AS77" i="7" s="1"/>
  <c r="AT17" i="7"/>
  <c r="AT29" i="7" s="1"/>
  <c r="AT41" i="7" s="1"/>
  <c r="AT53" i="7" s="1"/>
  <c r="AT65" i="7" s="1"/>
  <c r="AT77" i="7" s="1"/>
  <c r="AW17" i="7"/>
  <c r="AW29" i="7" s="1"/>
  <c r="AW41" i="7" s="1"/>
  <c r="AW53" i="7" s="1"/>
  <c r="AW65" i="7" s="1"/>
  <c r="AW77" i="7" s="1"/>
  <c r="AX17" i="7"/>
  <c r="AX29" i="7" s="1"/>
  <c r="AX41" i="7" s="1"/>
  <c r="AX53" i="7" s="1"/>
  <c r="AX65" i="7" s="1"/>
  <c r="AX77" i="7" s="1"/>
  <c r="AY17" i="7"/>
  <c r="AY29" i="7" s="1"/>
  <c r="AY41" i="7" s="1"/>
  <c r="AY53" i="7" s="1"/>
  <c r="AY65" i="7" s="1"/>
  <c r="AY77" i="7" s="1"/>
  <c r="AZ17" i="7"/>
  <c r="AZ29" i="7" s="1"/>
  <c r="AZ41" i="7" s="1"/>
  <c r="AZ53" i="7" s="1"/>
  <c r="AZ65" i="7" s="1"/>
  <c r="AZ77" i="7" s="1"/>
  <c r="BA17" i="7"/>
  <c r="BA29" i="7" s="1"/>
  <c r="BA41" i="7" s="1"/>
  <c r="BA53" i="7" s="1"/>
  <c r="BA65" i="7" s="1"/>
  <c r="BA77" i="7" s="1"/>
  <c r="U17" i="7"/>
  <c r="U29" i="7" s="1"/>
  <c r="U41" i="7" s="1"/>
  <c r="U53" i="7" s="1"/>
  <c r="U65" i="7" s="1"/>
  <c r="U77" i="7" s="1"/>
  <c r="AC34" i="32" l="1"/>
  <c r="Q8" i="32" l="1"/>
  <c r="Q5" i="32" l="1"/>
  <c r="AC7" i="32" l="1"/>
  <c r="Z7" i="32"/>
  <c r="W6" i="32"/>
  <c r="AC5" i="32"/>
  <c r="Z5" i="32"/>
  <c r="W5" i="32"/>
  <c r="Z4" i="32"/>
  <c r="C4" i="69" s="1"/>
  <c r="C6" i="69" s="1"/>
  <c r="W4" i="32"/>
  <c r="P20" i="7" s="1"/>
  <c r="AC43" i="32" l="1"/>
  <c r="AG13" i="32"/>
  <c r="E48" i="67" s="1"/>
  <c r="AG12" i="32"/>
  <c r="E15" i="67"/>
  <c r="E25" i="67" s="1"/>
  <c r="L53" i="32"/>
  <c r="Z40" i="32"/>
  <c r="W43" i="32"/>
  <c r="AX6" i="11"/>
  <c r="W37" i="32"/>
  <c r="AF7" i="32"/>
  <c r="Z6" i="32"/>
  <c r="AT3" i="11" s="1"/>
  <c r="Z8" i="32"/>
  <c r="C5" i="69" s="1"/>
  <c r="C14" i="69" s="1"/>
  <c r="AF37" i="32"/>
  <c r="AF5" i="32"/>
  <c r="W9" i="32"/>
  <c r="W18" i="32" s="1"/>
  <c r="Z43" i="32"/>
  <c r="E8" i="32" l="1"/>
  <c r="E9" i="32" s="1"/>
  <c r="E11" i="32"/>
  <c r="E12" i="32" s="1"/>
  <c r="E23" i="67"/>
  <c r="B23" i="67"/>
  <c r="E44" i="67"/>
  <c r="AG50" i="32"/>
  <c r="N24" i="7"/>
  <c r="E10" i="32"/>
  <c r="E18" i="32"/>
  <c r="B17" i="67"/>
  <c r="G14" i="67"/>
  <c r="B18" i="67"/>
  <c r="E21" i="67"/>
  <c r="A1" i="67"/>
  <c r="E24" i="67"/>
  <c r="E17" i="67"/>
  <c r="B20" i="67"/>
  <c r="E20" i="67"/>
  <c r="B24" i="67"/>
  <c r="B22" i="67"/>
  <c r="E19" i="67"/>
  <c r="E18" i="67"/>
  <c r="B19" i="67"/>
  <c r="B21" i="67"/>
  <c r="BN2" i="11"/>
  <c r="AQ6" i="11"/>
  <c r="BK2" i="11"/>
  <c r="W19" i="32"/>
  <c r="AW6" i="11"/>
  <c r="P21" i="7"/>
  <c r="Q17" i="32"/>
  <c r="Q16" i="32"/>
  <c r="K18" i="32"/>
  <c r="Z38" i="32"/>
  <c r="Z9" i="32"/>
  <c r="Z12" i="32" s="1"/>
  <c r="Z13" i="32" s="1"/>
  <c r="W21" i="32"/>
  <c r="W10" i="32"/>
  <c r="W22" i="32" s="1"/>
  <c r="AF43" i="32"/>
  <c r="C13" i="12" s="1"/>
  <c r="E24" i="32" l="1"/>
  <c r="E25" i="32"/>
  <c r="G22" i="67"/>
  <c r="L24" i="67"/>
  <c r="H24" i="67"/>
  <c r="J22" i="67"/>
  <c r="W38" i="32"/>
  <c r="K34" i="32"/>
  <c r="M8" i="4"/>
  <c r="W32" i="32"/>
  <c r="M7" i="4"/>
  <c r="W31" i="32"/>
  <c r="Z10" i="32"/>
  <c r="Z22" i="32" s="1"/>
  <c r="E17" i="32" l="1"/>
  <c r="E16" i="32"/>
  <c r="N8" i="4"/>
  <c r="Z32" i="32"/>
  <c r="Z21" i="32"/>
  <c r="E27" i="32" l="1"/>
  <c r="E29" i="32" s="1"/>
  <c r="E19" i="32"/>
  <c r="E20" i="32" s="1"/>
  <c r="N7" i="4"/>
  <c r="Z31" i="32"/>
  <c r="Z18" i="32"/>
  <c r="E28" i="32" l="1"/>
  <c r="E31" i="32" s="1"/>
  <c r="Z19" i="32"/>
  <c r="C7" i="7"/>
  <c r="E7" i="7" s="1"/>
  <c r="C8" i="7"/>
  <c r="E8" i="7" s="1"/>
  <c r="C9" i="7"/>
  <c r="E9" i="7" s="1"/>
  <c r="C10" i="7"/>
  <c r="E10" i="7" s="1"/>
  <c r="C11" i="7"/>
  <c r="E11" i="7" s="1"/>
  <c r="C12" i="7"/>
  <c r="E12" i="7" s="1"/>
  <c r="C13" i="7"/>
  <c r="E13" i="7" s="1"/>
  <c r="C14" i="7"/>
  <c r="E14" i="7" s="1"/>
  <c r="C15" i="7"/>
  <c r="E15" i="7" s="1"/>
  <c r="C16" i="7"/>
  <c r="E16" i="7" s="1"/>
  <c r="C17" i="7"/>
  <c r="E17" i="7" s="1"/>
  <c r="C18" i="7"/>
  <c r="E18" i="7" s="1"/>
  <c r="C19" i="7"/>
  <c r="E19" i="7" s="1"/>
  <c r="C20" i="7"/>
  <c r="E20" i="7" s="1"/>
  <c r="C21" i="7"/>
  <c r="E21" i="7" s="1"/>
  <c r="C22" i="7"/>
  <c r="E22" i="7" s="1"/>
  <c r="C23" i="7"/>
  <c r="E23" i="7" s="1"/>
  <c r="C24" i="7"/>
  <c r="E24" i="7" s="1"/>
  <c r="C25" i="7"/>
  <c r="E25" i="7" s="1"/>
  <c r="C26" i="7"/>
  <c r="E26" i="7" s="1"/>
  <c r="C27" i="7"/>
  <c r="E27" i="7" s="1"/>
  <c r="C28" i="7"/>
  <c r="E28" i="7" s="1"/>
  <c r="C29" i="7"/>
  <c r="E29" i="7" s="1"/>
  <c r="C30" i="7"/>
  <c r="E30" i="7" s="1"/>
  <c r="C31" i="7"/>
  <c r="E31" i="7" s="1"/>
  <c r="C32" i="7"/>
  <c r="E32" i="7" s="1"/>
  <c r="C33" i="7"/>
  <c r="E33" i="7" s="1"/>
  <c r="C34" i="7"/>
  <c r="E34" i="7" s="1"/>
  <c r="C35" i="7"/>
  <c r="E35" i="7" s="1"/>
  <c r="C36" i="7"/>
  <c r="E36" i="7" s="1"/>
  <c r="C37" i="7"/>
  <c r="E37" i="7" s="1"/>
  <c r="C38" i="7"/>
  <c r="E38" i="7" s="1"/>
  <c r="C39" i="7"/>
  <c r="E39" i="7" s="1"/>
  <c r="C40" i="7"/>
  <c r="E40" i="7" s="1"/>
  <c r="C41" i="7"/>
  <c r="E41" i="7" s="1"/>
  <c r="C42" i="7"/>
  <c r="E42" i="7" s="1"/>
  <c r="C43" i="7"/>
  <c r="E43" i="7" s="1"/>
  <c r="C44" i="7"/>
  <c r="E44" i="7" s="1"/>
  <c r="C45" i="7"/>
  <c r="E45" i="7" s="1"/>
  <c r="C46" i="7"/>
  <c r="E46" i="7" s="1"/>
  <c r="C47" i="7"/>
  <c r="E47" i="7" s="1"/>
  <c r="C48" i="7"/>
  <c r="E48" i="7" s="1"/>
  <c r="C49" i="7"/>
  <c r="E49" i="7" s="1"/>
  <c r="C50" i="7"/>
  <c r="E50" i="7" s="1"/>
  <c r="C51" i="7"/>
  <c r="E51" i="7" s="1"/>
  <c r="C52" i="7"/>
  <c r="E52" i="7" s="1"/>
  <c r="C53" i="7"/>
  <c r="E53" i="7" s="1"/>
  <c r="C54" i="7"/>
  <c r="E54" i="7" s="1"/>
  <c r="C55" i="7"/>
  <c r="E55" i="7" s="1"/>
  <c r="K5"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 i="7"/>
  <c r="B6" i="7"/>
  <c r="I6" i="7"/>
  <c r="I7" i="7"/>
  <c r="I8" i="7"/>
  <c r="I9" i="7"/>
  <c r="I10"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 i="7"/>
  <c r="C5" i="7"/>
  <c r="D5" i="7"/>
  <c r="H5" i="7"/>
  <c r="K34" i="7" l="1"/>
  <c r="K33" i="7"/>
  <c r="K32" i="7"/>
  <c r="K21" i="7"/>
  <c r="K20" i="7"/>
  <c r="K55" i="7"/>
  <c r="K43" i="7"/>
  <c r="K31" i="7"/>
  <c r="K19" i="7"/>
  <c r="K45" i="7"/>
  <c r="K44" i="7"/>
  <c r="K8" i="7"/>
  <c r="G8" i="7"/>
  <c r="K54" i="7"/>
  <c r="K42" i="7"/>
  <c r="K30" i="7"/>
  <c r="K18" i="7"/>
  <c r="K46" i="7"/>
  <c r="K29" i="7"/>
  <c r="G29" i="7"/>
  <c r="K17" i="7"/>
  <c r="K9" i="7"/>
  <c r="K16" i="7"/>
  <c r="K41" i="7"/>
  <c r="K27" i="7"/>
  <c r="K28" i="7"/>
  <c r="G28" i="7"/>
  <c r="K22" i="7"/>
  <c r="K39" i="7"/>
  <c r="K50" i="7"/>
  <c r="K49" i="7"/>
  <c r="K37" i="7"/>
  <c r="K25" i="7"/>
  <c r="G25" i="7"/>
  <c r="K13" i="7"/>
  <c r="K10" i="7"/>
  <c r="K53" i="7"/>
  <c r="K40" i="7"/>
  <c r="K51" i="7"/>
  <c r="K15" i="7"/>
  <c r="K38" i="7"/>
  <c r="K14" i="7"/>
  <c r="K48" i="7"/>
  <c r="K36" i="7"/>
  <c r="K24" i="7"/>
  <c r="K12" i="7"/>
  <c r="G12" i="7"/>
  <c r="K52" i="7"/>
  <c r="K26" i="7"/>
  <c r="K47" i="7"/>
  <c r="K35" i="7"/>
  <c r="K23" i="7"/>
  <c r="K11" i="7"/>
  <c r="G11" i="7"/>
  <c r="K7" i="7"/>
  <c r="K6" i="7"/>
  <c r="D43" i="7"/>
  <c r="D25" i="7"/>
  <c r="F25" i="7" s="1"/>
  <c r="D48" i="7"/>
  <c r="D35" i="7"/>
  <c r="D55" i="7"/>
  <c r="D39" i="7"/>
  <c r="D51" i="7"/>
  <c r="D50" i="7"/>
  <c r="D47" i="7"/>
  <c r="D15" i="7"/>
  <c r="F15" i="7" s="1"/>
  <c r="G15" i="7" s="1"/>
  <c r="D44" i="7"/>
  <c r="D42" i="7"/>
  <c r="F42" i="7" s="1"/>
  <c r="G42" i="7" s="1"/>
  <c r="D40" i="7"/>
  <c r="F40" i="7" s="1"/>
  <c r="G40" i="7" s="1"/>
  <c r="D32" i="7"/>
  <c r="F32" i="7" s="1"/>
  <c r="G32" i="7" s="1"/>
  <c r="D31" i="7"/>
  <c r="F31" i="7" s="1"/>
  <c r="G31" i="7" s="1"/>
  <c r="D27" i="7"/>
  <c r="D26" i="7"/>
  <c r="F26" i="7" s="1"/>
  <c r="G26" i="7" s="1"/>
  <c r="D23" i="7"/>
  <c r="F23" i="7" s="1"/>
  <c r="G23" i="7" s="1"/>
  <c r="D19" i="7"/>
  <c r="F19" i="7" s="1"/>
  <c r="G19" i="7" s="1"/>
  <c r="D18" i="7"/>
  <c r="F18" i="7" s="1"/>
  <c r="G18" i="7" s="1"/>
  <c r="D16" i="7"/>
  <c r="F16" i="7" s="1"/>
  <c r="G16" i="7" s="1"/>
  <c r="D13" i="7"/>
  <c r="F13" i="7" s="1"/>
  <c r="G13" i="7" s="1"/>
  <c r="D9" i="7"/>
  <c r="F9" i="7" s="1"/>
  <c r="G9" i="7" s="1"/>
  <c r="D22" i="7"/>
  <c r="F22" i="7" s="1"/>
  <c r="G22" i="7" s="1"/>
  <c r="D30" i="7"/>
  <c r="F30" i="7" s="1"/>
  <c r="G30" i="7" s="1"/>
  <c r="D14" i="7"/>
  <c r="F14" i="7" s="1"/>
  <c r="G14" i="7" s="1"/>
  <c r="D28" i="7"/>
  <c r="F28" i="7" s="1"/>
  <c r="D12" i="7"/>
  <c r="F12" i="7" s="1"/>
  <c r="D11" i="7"/>
  <c r="F11" i="7" s="1"/>
  <c r="D45" i="7"/>
  <c r="F45" i="7" s="1"/>
  <c r="G45" i="7" s="1"/>
  <c r="D29" i="7"/>
  <c r="F29" i="7" s="1"/>
  <c r="D49" i="7"/>
  <c r="F49" i="7" s="1"/>
  <c r="G49" i="7" s="1"/>
  <c r="D41" i="7"/>
  <c r="F41" i="7" s="1"/>
  <c r="G41" i="7" s="1"/>
  <c r="D33" i="7"/>
  <c r="F33" i="7" s="1"/>
  <c r="G33" i="7" s="1"/>
  <c r="D17" i="7"/>
  <c r="F17" i="7" s="1"/>
  <c r="G17" i="7" s="1"/>
  <c r="D52" i="7"/>
  <c r="F52" i="7" s="1"/>
  <c r="G52" i="7" s="1"/>
  <c r="D20" i="7"/>
  <c r="F20" i="7" s="1"/>
  <c r="G20" i="7" s="1"/>
  <c r="D36" i="7"/>
  <c r="F36" i="7" s="1"/>
  <c r="G36" i="7" s="1"/>
  <c r="D34" i="7"/>
  <c r="F34" i="7" s="1"/>
  <c r="G34" i="7" s="1"/>
  <c r="D10" i="7"/>
  <c r="F10" i="7" s="1"/>
  <c r="G10" i="7" s="1"/>
  <c r="D6" i="7"/>
  <c r="F6" i="7" s="1"/>
  <c r="G6" i="7" s="1"/>
  <c r="D24" i="7"/>
  <c r="F24" i="7" s="1"/>
  <c r="G24" i="7" s="1"/>
  <c r="D8" i="7"/>
  <c r="F8" i="7" s="1"/>
  <c r="D7" i="7"/>
  <c r="F7" i="7" s="1"/>
  <c r="G7" i="7" s="1"/>
  <c r="D54" i="7"/>
  <c r="F54" i="7" s="1"/>
  <c r="G54" i="7" s="1"/>
  <c r="D46" i="7"/>
  <c r="F46" i="7" s="1"/>
  <c r="G46" i="7" s="1"/>
  <c r="D38" i="7"/>
  <c r="F38" i="7" s="1"/>
  <c r="G38" i="7" s="1"/>
  <c r="D53" i="7"/>
  <c r="F53" i="7" s="1"/>
  <c r="G53" i="7" s="1"/>
  <c r="D37" i="7"/>
  <c r="F37" i="7" s="1"/>
  <c r="G37" i="7" s="1"/>
  <c r="D21" i="7"/>
  <c r="F21" i="7" s="1"/>
  <c r="G21" i="7" s="1"/>
  <c r="L8" i="12"/>
  <c r="L6" i="12" s="1"/>
  <c r="M8" i="12"/>
  <c r="M10" i="12" s="1"/>
  <c r="M12" i="12" s="1"/>
  <c r="M14" i="12" s="1"/>
  <c r="N8" i="12"/>
  <c r="N10" i="12" s="1"/>
  <c r="N12" i="12" s="1"/>
  <c r="N14" i="12" s="1"/>
  <c r="O8" i="12"/>
  <c r="O10" i="12" s="1"/>
  <c r="O12" i="12" s="1"/>
  <c r="O14" i="12" s="1"/>
  <c r="L9" i="12"/>
  <c r="L11" i="12" s="1"/>
  <c r="L13" i="12" s="1"/>
  <c r="M9" i="12"/>
  <c r="M11" i="12" s="1"/>
  <c r="M13" i="12" s="1"/>
  <c r="N9" i="12"/>
  <c r="N11" i="12" s="1"/>
  <c r="N13" i="12" s="1"/>
  <c r="O9" i="12"/>
  <c r="O11" i="12" s="1"/>
  <c r="O13" i="12" s="1"/>
  <c r="L10" i="12"/>
  <c r="L12" i="12" s="1"/>
  <c r="L14" i="12" s="1"/>
  <c r="L16" i="12"/>
  <c r="L18" i="12" s="1"/>
  <c r="L20" i="12" s="1"/>
  <c r="M16" i="12"/>
  <c r="M18" i="12" s="1"/>
  <c r="M20" i="12" s="1"/>
  <c r="N16" i="12"/>
  <c r="N18" i="12" s="1"/>
  <c r="N20" i="12" s="1"/>
  <c r="O16" i="12"/>
  <c r="O18" i="12" s="1"/>
  <c r="O20" i="12" s="1"/>
  <c r="L17" i="12"/>
  <c r="M17" i="12"/>
  <c r="M19" i="12" s="1"/>
  <c r="N17" i="12"/>
  <c r="N19" i="12" s="1"/>
  <c r="O17" i="12"/>
  <c r="O19" i="12" s="1"/>
  <c r="L19" i="12"/>
  <c r="L22" i="12"/>
  <c r="L24" i="12" s="1"/>
  <c r="L26" i="12" s="1"/>
  <c r="M22" i="12"/>
  <c r="M24" i="12" s="1"/>
  <c r="M26" i="12" s="1"/>
  <c r="N22" i="12"/>
  <c r="N24" i="12" s="1"/>
  <c r="N26" i="12" s="1"/>
  <c r="O22" i="12"/>
  <c r="O24" i="12" s="1"/>
  <c r="O26" i="12" s="1"/>
  <c r="L23" i="12"/>
  <c r="L25" i="12" s="1"/>
  <c r="M23" i="12"/>
  <c r="M25" i="12" s="1"/>
  <c r="N23" i="12"/>
  <c r="N25" i="12" s="1"/>
  <c r="O23" i="12"/>
  <c r="O25" i="12" s="1"/>
  <c r="L28" i="12"/>
  <c r="L30" i="12" s="1"/>
  <c r="L32" i="12" s="1"/>
  <c r="L34" i="12" s="1"/>
  <c r="L36" i="12" s="1"/>
  <c r="L38" i="12" s="1"/>
  <c r="M28" i="12"/>
  <c r="M30" i="12" s="1"/>
  <c r="M32" i="12" s="1"/>
  <c r="M34" i="12" s="1"/>
  <c r="M36" i="12" s="1"/>
  <c r="M38" i="12" s="1"/>
  <c r="N28" i="12"/>
  <c r="N30" i="12" s="1"/>
  <c r="N32" i="12" s="1"/>
  <c r="N34" i="12" s="1"/>
  <c r="N36" i="12" s="1"/>
  <c r="N38" i="12" s="1"/>
  <c r="O28" i="12"/>
  <c r="O30" i="12" s="1"/>
  <c r="O32" i="12" s="1"/>
  <c r="O34" i="12" s="1"/>
  <c r="O36" i="12" s="1"/>
  <c r="O38" i="12" s="1"/>
  <c r="L29" i="12"/>
  <c r="L31" i="12" s="1"/>
  <c r="L33" i="12" s="1"/>
  <c r="L35" i="12" s="1"/>
  <c r="L37" i="12" s="1"/>
  <c r="M29" i="12"/>
  <c r="M31" i="12" s="1"/>
  <c r="M33" i="12" s="1"/>
  <c r="M35" i="12" s="1"/>
  <c r="M37" i="12" s="1"/>
  <c r="N29" i="12"/>
  <c r="N31" i="12" s="1"/>
  <c r="N33" i="12" s="1"/>
  <c r="N35" i="12" s="1"/>
  <c r="N37" i="12" s="1"/>
  <c r="O29" i="12"/>
  <c r="O31" i="12" s="1"/>
  <c r="O33" i="12" s="1"/>
  <c r="O35" i="12" s="1"/>
  <c r="O37" i="12" s="1"/>
  <c r="L40" i="12"/>
  <c r="L42" i="12" s="1"/>
  <c r="L44" i="12" s="1"/>
  <c r="L46" i="12" s="1"/>
  <c r="L48" i="12" s="1"/>
  <c r="L50" i="12" s="1"/>
  <c r="L52" i="12" s="1"/>
  <c r="L54" i="12" s="1"/>
  <c r="M40" i="12"/>
  <c r="M42" i="12" s="1"/>
  <c r="M44" i="12" s="1"/>
  <c r="M46" i="12" s="1"/>
  <c r="M48" i="12" s="1"/>
  <c r="M50" i="12" s="1"/>
  <c r="M52" i="12" s="1"/>
  <c r="M54" i="12" s="1"/>
  <c r="N40" i="12"/>
  <c r="N42" i="12" s="1"/>
  <c r="N44" i="12" s="1"/>
  <c r="N46" i="12" s="1"/>
  <c r="N48" i="12" s="1"/>
  <c r="N50" i="12" s="1"/>
  <c r="N52" i="12" s="1"/>
  <c r="N54" i="12" s="1"/>
  <c r="O40" i="12"/>
  <c r="O42" i="12" s="1"/>
  <c r="O44" i="12" s="1"/>
  <c r="O46" i="12" s="1"/>
  <c r="O48" i="12" s="1"/>
  <c r="O50" i="12" s="1"/>
  <c r="O52" i="12" s="1"/>
  <c r="O54" i="12" s="1"/>
  <c r="L41" i="12"/>
  <c r="L43" i="12" s="1"/>
  <c r="L45" i="12" s="1"/>
  <c r="L47" i="12" s="1"/>
  <c r="L49" i="12" s="1"/>
  <c r="L51" i="12" s="1"/>
  <c r="L53" i="12" s="1"/>
  <c r="M41" i="12"/>
  <c r="M43" i="12" s="1"/>
  <c r="M45" i="12" s="1"/>
  <c r="M47" i="12" s="1"/>
  <c r="M49" i="12" s="1"/>
  <c r="M51" i="12" s="1"/>
  <c r="M53" i="12" s="1"/>
  <c r="N41" i="12"/>
  <c r="N43" i="12" s="1"/>
  <c r="N45" i="12" s="1"/>
  <c r="N47" i="12" s="1"/>
  <c r="N49" i="12" s="1"/>
  <c r="N51" i="12" s="1"/>
  <c r="N53" i="12" s="1"/>
  <c r="O41" i="12"/>
  <c r="O43" i="12" s="1"/>
  <c r="O45" i="12" s="1"/>
  <c r="O47" i="12" s="1"/>
  <c r="O49" i="12" s="1"/>
  <c r="O51" i="12" s="1"/>
  <c r="O53" i="12" s="1"/>
  <c r="K41" i="12"/>
  <c r="K43" i="12" s="1"/>
  <c r="K45" i="12" s="1"/>
  <c r="K47" i="12" s="1"/>
  <c r="K49" i="12" s="1"/>
  <c r="K51" i="12" s="1"/>
  <c r="K53" i="12" s="1"/>
  <c r="K29" i="12"/>
  <c r="K31" i="12" s="1"/>
  <c r="K33" i="12" s="1"/>
  <c r="K35" i="12" s="1"/>
  <c r="K37" i="12" s="1"/>
  <c r="K23" i="12"/>
  <c r="K25" i="12" s="1"/>
  <c r="K17" i="12"/>
  <c r="K19" i="12" s="1"/>
  <c r="K9" i="12"/>
  <c r="K11" i="12" s="1"/>
  <c r="K13" i="12" s="1"/>
  <c r="K6" i="12"/>
  <c r="K40" i="12"/>
  <c r="K42" i="12" s="1"/>
  <c r="K44" i="12" s="1"/>
  <c r="K46" i="12" s="1"/>
  <c r="K48" i="12" s="1"/>
  <c r="K50" i="12" s="1"/>
  <c r="K52" i="12" s="1"/>
  <c r="K54" i="12" s="1"/>
  <c r="K28" i="12"/>
  <c r="K30" i="12" s="1"/>
  <c r="K32" i="12" s="1"/>
  <c r="K34" i="12" s="1"/>
  <c r="K36" i="12" s="1"/>
  <c r="K38" i="12" s="1"/>
  <c r="K8" i="12"/>
  <c r="K10" i="12" s="1"/>
  <c r="K12" i="12" s="1"/>
  <c r="K14" i="12" s="1"/>
  <c r="K16" i="12"/>
  <c r="K18" i="12" s="1"/>
  <c r="K20" i="12" s="1"/>
  <c r="K22" i="12"/>
  <c r="K24" i="12" s="1"/>
  <c r="K26" i="12" s="1"/>
  <c r="F39" i="7" l="1"/>
  <c r="G39" i="7" s="1"/>
  <c r="F55" i="7"/>
  <c r="G55" i="7" s="1"/>
  <c r="F44" i="7"/>
  <c r="G44" i="7" s="1"/>
  <c r="F48" i="7"/>
  <c r="G48" i="7" s="1"/>
  <c r="F50" i="7"/>
  <c r="G50" i="7" s="1"/>
  <c r="F27" i="7"/>
  <c r="G27" i="7" s="1"/>
  <c r="F51" i="7"/>
  <c r="G51" i="7" s="1"/>
  <c r="F35" i="7"/>
  <c r="G35" i="7" s="1"/>
  <c r="F47" i="7"/>
  <c r="G47" i="7" s="1"/>
  <c r="F43" i="7"/>
  <c r="G43" i="7" s="1"/>
  <c r="H42" i="7"/>
  <c r="H52" i="7"/>
  <c r="H54" i="7"/>
  <c r="H32" i="7"/>
  <c r="H40" i="7"/>
  <c r="H9" i="7"/>
  <c r="H36" i="7"/>
  <c r="H30" i="7"/>
  <c r="H28" i="7"/>
  <c r="H12" i="7"/>
  <c r="H11" i="7"/>
  <c r="H10" i="7"/>
  <c r="H8" i="7"/>
  <c r="H7" i="7"/>
  <c r="H6" i="7"/>
  <c r="H41" i="7"/>
  <c r="H33" i="7"/>
  <c r="H45" i="7"/>
  <c r="H49" i="7"/>
  <c r="H21" i="7"/>
  <c r="H46" i="7"/>
  <c r="H53" i="7"/>
  <c r="H38" i="7"/>
  <c r="H37" i="7"/>
  <c r="O6" i="12"/>
  <c r="N6" i="12"/>
  <c r="M6" i="12"/>
  <c r="H35" i="7" l="1"/>
  <c r="J35" i="7" s="1"/>
  <c r="A35" i="7"/>
  <c r="A55" i="4" s="1"/>
  <c r="H39" i="7"/>
  <c r="J39" i="7" s="1"/>
  <c r="A39" i="7"/>
  <c r="A59" i="4" s="1"/>
  <c r="H47" i="7"/>
  <c r="J47" i="7" s="1"/>
  <c r="A47" i="7"/>
  <c r="A67" i="4" s="1"/>
  <c r="H44" i="7"/>
  <c r="J44" i="7" s="1"/>
  <c r="A44" i="7"/>
  <c r="A64" i="4" s="1"/>
  <c r="H51" i="7"/>
  <c r="J51" i="7" s="1"/>
  <c r="A51" i="7"/>
  <c r="A71" i="4" s="1"/>
  <c r="H27" i="7"/>
  <c r="J27" i="7" s="1"/>
  <c r="A27" i="7"/>
  <c r="A47" i="4" s="1"/>
  <c r="H50" i="7"/>
  <c r="J50" i="7" s="1"/>
  <c r="A50" i="7"/>
  <c r="A70" i="4" s="1"/>
  <c r="H48" i="7"/>
  <c r="J48" i="7" s="1"/>
  <c r="A48" i="7"/>
  <c r="A68" i="4" s="1"/>
  <c r="H43" i="7"/>
  <c r="J43" i="7" s="1"/>
  <c r="A43" i="7"/>
  <c r="A63" i="4" s="1"/>
  <c r="H55" i="7"/>
  <c r="J55" i="7" s="1"/>
  <c r="A55" i="7"/>
  <c r="A75" i="4" s="1"/>
  <c r="A49" i="7"/>
  <c r="A69" i="4" s="1"/>
  <c r="J49" i="7"/>
  <c r="A54" i="7"/>
  <c r="A74" i="4" s="1"/>
  <c r="J54" i="7"/>
  <c r="A45" i="7"/>
  <c r="A65" i="4" s="1"/>
  <c r="J45" i="7"/>
  <c r="A52" i="7"/>
  <c r="A72" i="4" s="1"/>
  <c r="J52" i="7"/>
  <c r="A41" i="7"/>
  <c r="A61" i="4" s="1"/>
  <c r="J41" i="7"/>
  <c r="A53" i="7"/>
  <c r="A73" i="4" s="1"/>
  <c r="J53" i="7"/>
  <c r="A46" i="7"/>
  <c r="A66" i="4" s="1"/>
  <c r="J46" i="7"/>
  <c r="A28" i="7"/>
  <c r="A48" i="4" s="1"/>
  <c r="J28" i="7"/>
  <c r="A36" i="7"/>
  <c r="A56" i="4" s="1"/>
  <c r="J36" i="7"/>
  <c r="A9" i="7"/>
  <c r="A29" i="4" s="1"/>
  <c r="J9" i="7"/>
  <c r="A21" i="7"/>
  <c r="A41" i="4" s="1"/>
  <c r="J21" i="7"/>
  <c r="A10" i="7"/>
  <c r="A30" i="4" s="1"/>
  <c r="J10" i="7"/>
  <c r="A32" i="7"/>
  <c r="A52" i="4" s="1"/>
  <c r="J32" i="7"/>
  <c r="A33" i="7"/>
  <c r="A53" i="4" s="1"/>
  <c r="J33" i="7"/>
  <c r="A37" i="7"/>
  <c r="A57" i="4" s="1"/>
  <c r="J37" i="7"/>
  <c r="A38" i="7"/>
  <c r="A58" i="4" s="1"/>
  <c r="J38" i="7"/>
  <c r="A7" i="7"/>
  <c r="A27" i="4" s="1"/>
  <c r="J7" i="7"/>
  <c r="A8" i="7"/>
  <c r="A28" i="4" s="1"/>
  <c r="J8" i="7"/>
  <c r="A11" i="7"/>
  <c r="A31" i="4" s="1"/>
  <c r="J11" i="7"/>
  <c r="A30" i="7"/>
  <c r="A50" i="4" s="1"/>
  <c r="J30" i="7"/>
  <c r="A12" i="7"/>
  <c r="A32" i="4" s="1"/>
  <c r="J12" i="7"/>
  <c r="A6" i="7"/>
  <c r="A26" i="4" s="1"/>
  <c r="J6" i="7"/>
  <c r="A40" i="7"/>
  <c r="A60" i="4" s="1"/>
  <c r="J40" i="7"/>
  <c r="A42" i="7"/>
  <c r="A62" i="4" s="1"/>
  <c r="J42" i="7"/>
  <c r="BF6" i="11" l="1"/>
  <c r="E22" i="67" l="1"/>
  <c r="G86" i="35"/>
  <c r="AC4" i="32"/>
  <c r="K54" i="32" l="1"/>
  <c r="AG55" i="32"/>
  <c r="AF4" i="32"/>
  <c r="AC8" i="32"/>
  <c r="AC13" i="32" s="1"/>
  <c r="AC38" i="32" s="1"/>
  <c r="K44" i="32" s="1"/>
  <c r="F114" i="28"/>
  <c r="E114" i="28"/>
  <c r="K114" i="27"/>
  <c r="J114" i="27"/>
  <c r="I114" i="27"/>
  <c r="H114" i="27"/>
  <c r="F114" i="27"/>
  <c r="E114" i="27"/>
  <c r="G36" i="67" l="1"/>
  <c r="G37" i="67"/>
  <c r="AC9" i="32"/>
  <c r="AF9" i="32" s="1"/>
  <c r="AF8" i="32"/>
  <c r="D114" i="28"/>
  <c r="D114" i="27"/>
  <c r="Q114" i="26"/>
  <c r="P114" i="26"/>
  <c r="O114" i="26"/>
  <c r="N114" i="26"/>
  <c r="M114" i="26"/>
  <c r="L114" i="26"/>
  <c r="K114" i="26"/>
  <c r="J114" i="26"/>
  <c r="I114" i="26"/>
  <c r="H114" i="26"/>
  <c r="G114" i="26"/>
  <c r="F114" i="26"/>
  <c r="AF38" i="32" l="1"/>
  <c r="AC18" i="32"/>
  <c r="AC10" i="32"/>
  <c r="AF10" i="32" s="1"/>
  <c r="AC21" i="32"/>
  <c r="G114" i="28"/>
  <c r="G114" i="27"/>
  <c r="AF18" i="32" l="1"/>
  <c r="AP6" i="11" s="1"/>
  <c r="AC19" i="32"/>
  <c r="AF19" i="32" s="1"/>
  <c r="AF21" i="32"/>
  <c r="P22" i="7" s="1"/>
  <c r="AC31" i="32"/>
  <c r="AF31" i="32" s="1"/>
  <c r="AC22" i="32"/>
  <c r="O7" i="4"/>
  <c r="M31" i="4"/>
  <c r="M30" i="4"/>
  <c r="E27" i="67" l="1"/>
  <c r="AF22" i="32"/>
  <c r="AC32" i="32"/>
  <c r="AF32" i="32" s="1"/>
  <c r="O8" i="4"/>
  <c r="P23" i="7"/>
  <c r="M40" i="4"/>
  <c r="M32" i="4"/>
  <c r="M33" i="4" s="1"/>
  <c r="E26" i="67" l="1"/>
  <c r="AW10" i="7"/>
  <c r="AW18" i="7"/>
  <c r="AW26" i="7"/>
  <c r="AW34" i="7"/>
  <c r="AW42" i="7"/>
  <c r="AW66" i="7"/>
  <c r="AW11" i="7"/>
  <c r="AW19" i="7"/>
  <c r="AW35" i="7"/>
  <c r="AW12" i="7"/>
  <c r="AW20" i="7"/>
  <c r="AW36" i="7"/>
  <c r="AW14" i="7"/>
  <c r="AW22" i="7"/>
  <c r="AW30" i="7"/>
  <c r="AW38" i="7"/>
  <c r="AW54" i="7"/>
  <c r="AW78" i="7"/>
  <c r="AW7" i="7"/>
  <c r="AW23" i="7"/>
  <c r="AW31" i="7"/>
  <c r="AW8" i="7"/>
  <c r="AW24" i="7"/>
  <c r="AW32" i="7"/>
  <c r="AW13" i="7"/>
  <c r="AW21" i="7"/>
  <c r="AW25" i="7"/>
  <c r="AW33" i="7"/>
  <c r="AW6" i="7"/>
  <c r="AW37" i="7"/>
  <c r="AW9" i="7"/>
  <c r="AK108" i="11"/>
  <c r="Q27" i="32" s="1"/>
  <c r="AK110" i="11" l="1"/>
  <c r="Q29" i="32" l="1"/>
  <c r="K114" i="15"/>
  <c r="J114" i="15"/>
  <c r="I114" i="15"/>
  <c r="H114" i="15"/>
  <c r="G114" i="15"/>
  <c r="F114" i="15"/>
  <c r="E114" i="15"/>
  <c r="K114" i="14"/>
  <c r="J114" i="14"/>
  <c r="I114" i="14"/>
  <c r="H114" i="14"/>
  <c r="G114" i="14"/>
  <c r="F114" i="14"/>
  <c r="E114" i="14"/>
  <c r="K114" i="13"/>
  <c r="J114" i="13"/>
  <c r="I114" i="13"/>
  <c r="H114" i="13"/>
  <c r="G114" i="13"/>
  <c r="F114" i="13"/>
  <c r="E114" i="13"/>
  <c r="D114" i="13"/>
  <c r="D114" i="15" l="1"/>
  <c r="D114" i="14"/>
  <c r="AI107" i="11"/>
  <c r="BA105" i="11"/>
  <c r="BF105" i="11" s="1"/>
  <c r="BA104" i="11"/>
  <c r="BF104" i="11" s="1"/>
  <c r="BA103" i="11"/>
  <c r="BF103" i="11" s="1"/>
  <c r="BA102" i="11"/>
  <c r="BF102" i="11" s="1"/>
  <c r="BA101" i="11"/>
  <c r="BF101" i="11" s="1"/>
  <c r="BA100" i="11"/>
  <c r="BF100" i="11" s="1"/>
  <c r="BA99" i="11"/>
  <c r="BF99" i="11" s="1"/>
  <c r="BA98" i="11"/>
  <c r="BF98" i="11" s="1"/>
  <c r="BA97" i="11"/>
  <c r="BF97" i="11" s="1"/>
  <c r="BA96" i="11"/>
  <c r="BF96" i="11" s="1"/>
  <c r="BA95" i="11"/>
  <c r="BF95" i="11" s="1"/>
  <c r="BA94" i="11"/>
  <c r="BF94" i="11" s="1"/>
  <c r="BA93" i="11"/>
  <c r="BF93" i="11" s="1"/>
  <c r="BA92" i="11"/>
  <c r="BF92" i="11" s="1"/>
  <c r="BA91" i="11"/>
  <c r="BF91" i="11" s="1"/>
  <c r="BA90" i="11"/>
  <c r="BF90" i="11" s="1"/>
  <c r="BA89" i="11"/>
  <c r="BF89" i="11" s="1"/>
  <c r="BA88" i="11"/>
  <c r="BF88" i="11" s="1"/>
  <c r="BA87" i="11"/>
  <c r="BF87" i="11" s="1"/>
  <c r="BA86" i="11"/>
  <c r="BF86" i="11" s="1"/>
  <c r="BA85" i="11"/>
  <c r="BF85" i="11" s="1"/>
  <c r="BA84" i="11"/>
  <c r="BF84" i="11" s="1"/>
  <c r="BA83" i="11"/>
  <c r="BF83" i="11" s="1"/>
  <c r="BA82" i="11"/>
  <c r="BF82" i="11" s="1"/>
  <c r="BA81" i="11"/>
  <c r="BF81" i="11" s="1"/>
  <c r="BA80" i="11"/>
  <c r="BF80" i="11" s="1"/>
  <c r="BA79" i="11"/>
  <c r="BF79" i="11" s="1"/>
  <c r="BA78" i="11"/>
  <c r="BF78" i="11" s="1"/>
  <c r="BA77" i="11"/>
  <c r="BF77" i="11" s="1"/>
  <c r="BA76" i="11"/>
  <c r="BF76" i="11" s="1"/>
  <c r="BA75" i="11"/>
  <c r="BF75" i="11" s="1"/>
  <c r="BA74" i="11"/>
  <c r="BF74" i="11" s="1"/>
  <c r="BA73" i="11"/>
  <c r="BF73" i="11" s="1"/>
  <c r="BA72" i="11"/>
  <c r="BF72" i="11" s="1"/>
  <c r="BA71" i="11"/>
  <c r="BF71" i="11" s="1"/>
  <c r="BA70" i="11"/>
  <c r="BF70" i="11" s="1"/>
  <c r="BA69" i="11"/>
  <c r="BF69" i="11" s="1"/>
  <c r="BA68" i="11"/>
  <c r="BF68" i="11" s="1"/>
  <c r="BA67" i="11"/>
  <c r="BF67" i="11" s="1"/>
  <c r="BA66" i="11"/>
  <c r="BF66" i="11" s="1"/>
  <c r="BA65" i="11"/>
  <c r="BF65" i="11" s="1"/>
  <c r="BA64" i="11"/>
  <c r="BF64" i="11" s="1"/>
  <c r="BA63" i="11"/>
  <c r="BF63" i="11" s="1"/>
  <c r="BA62" i="11"/>
  <c r="BF62" i="11" s="1"/>
  <c r="BA61" i="11"/>
  <c r="BF61" i="11" s="1"/>
  <c r="BA60" i="11"/>
  <c r="BF60" i="11" s="1"/>
  <c r="BA59" i="11"/>
  <c r="BF59" i="11" s="1"/>
  <c r="BA58" i="11"/>
  <c r="BF58" i="11" s="1"/>
  <c r="BA57" i="11"/>
  <c r="BF57" i="11" s="1"/>
  <c r="BA56" i="11"/>
  <c r="BF56" i="11" s="1"/>
  <c r="BA55" i="11"/>
  <c r="BF55" i="11" s="1"/>
  <c r="BA54" i="11"/>
  <c r="BF54" i="11" s="1"/>
  <c r="BA53" i="11"/>
  <c r="BF53" i="11" s="1"/>
  <c r="BA52" i="11"/>
  <c r="BF52" i="11" s="1"/>
  <c r="BA51" i="11"/>
  <c r="BF51" i="11" s="1"/>
  <c r="BA50" i="11"/>
  <c r="BF50" i="11" s="1"/>
  <c r="BA49" i="11"/>
  <c r="BF49" i="11" s="1"/>
  <c r="BA48" i="11"/>
  <c r="BF48" i="11" s="1"/>
  <c r="BA47" i="11"/>
  <c r="BF47" i="11" s="1"/>
  <c r="BA46" i="11"/>
  <c r="BF46" i="11" s="1"/>
  <c r="BA45" i="11"/>
  <c r="BF45" i="11" s="1"/>
  <c r="BA44" i="11"/>
  <c r="BF44" i="11" s="1"/>
  <c r="BA43" i="11"/>
  <c r="BF43" i="11" s="1"/>
  <c r="BA42" i="11"/>
  <c r="BF42" i="11" s="1"/>
  <c r="BA41" i="11"/>
  <c r="BF41" i="11" s="1"/>
  <c r="BA40" i="11"/>
  <c r="BF40" i="11" s="1"/>
  <c r="BA39" i="11"/>
  <c r="BF39" i="11" s="1"/>
  <c r="BA38" i="11"/>
  <c r="BF38" i="11" s="1"/>
  <c r="BA37" i="11"/>
  <c r="BF37" i="11" s="1"/>
  <c r="BA36" i="11"/>
  <c r="BF36" i="11" s="1"/>
  <c r="BA35" i="11"/>
  <c r="BF35" i="11" s="1"/>
  <c r="BA34" i="11"/>
  <c r="BF34" i="11" s="1"/>
  <c r="BA33" i="11"/>
  <c r="BF33" i="11" s="1"/>
  <c r="BA32" i="11"/>
  <c r="BF32" i="11" s="1"/>
  <c r="BA31" i="11"/>
  <c r="BF31" i="11" s="1"/>
  <c r="BA30" i="11"/>
  <c r="BF30" i="11" s="1"/>
  <c r="BA29" i="11"/>
  <c r="BF29" i="11" s="1"/>
  <c r="BA28" i="11"/>
  <c r="BF28" i="11" s="1"/>
  <c r="BA27" i="11"/>
  <c r="BF27" i="11" s="1"/>
  <c r="BA26" i="11"/>
  <c r="BF26" i="11" s="1"/>
  <c r="BA25" i="11"/>
  <c r="BF25" i="11" s="1"/>
  <c r="BA24" i="11"/>
  <c r="BF24" i="11" s="1"/>
  <c r="BA23" i="11"/>
  <c r="BF23" i="11" s="1"/>
  <c r="BA22" i="11"/>
  <c r="BF22" i="11" s="1"/>
  <c r="BA21" i="11"/>
  <c r="BF21" i="11" s="1"/>
  <c r="BA20" i="11"/>
  <c r="BF20" i="11" s="1"/>
  <c r="BA19" i="11"/>
  <c r="BF19" i="11" s="1"/>
  <c r="BA18" i="11"/>
  <c r="BF18" i="11" s="1"/>
  <c r="BA17" i="11"/>
  <c r="BF17" i="11" s="1"/>
  <c r="BA16" i="11"/>
  <c r="BF16" i="11" s="1"/>
  <c r="BA15" i="11"/>
  <c r="BF15" i="11" s="1"/>
  <c r="BA14" i="11"/>
  <c r="BF14" i="11" s="1"/>
  <c r="BA13" i="11"/>
  <c r="BF13" i="11" s="1"/>
  <c r="BA12" i="11"/>
  <c r="BF12" i="11" s="1"/>
  <c r="BA11" i="11"/>
  <c r="BF11" i="11" s="1"/>
  <c r="BA10" i="11"/>
  <c r="BF10" i="11" s="1"/>
  <c r="BA9" i="11"/>
  <c r="BF9" i="11" s="1"/>
  <c r="BA8" i="11"/>
  <c r="BF8" i="11" s="1"/>
  <c r="BA7" i="11"/>
  <c r="BF7" i="11" s="1"/>
  <c r="L114" i="10"/>
  <c r="K114" i="10"/>
  <c r="J114" i="10"/>
  <c r="I114" i="10"/>
  <c r="H114" i="10"/>
  <c r="G114" i="10"/>
  <c r="F114" i="10"/>
  <c r="E114" i="10"/>
  <c r="D114" i="10"/>
  <c r="BH2" i="11" l="1"/>
  <c r="BG2" i="11" l="1"/>
  <c r="AX108" i="11"/>
  <c r="AY6" i="11"/>
  <c r="AY108" i="11" s="1"/>
  <c r="W45" i="32" l="1"/>
  <c r="AW74" i="11" l="1"/>
  <c r="AW81" i="11" l="1"/>
  <c r="AW12" i="11"/>
  <c r="AW46" i="11"/>
  <c r="AW100" i="11"/>
  <c r="AW34" i="11"/>
  <c r="AW65" i="11"/>
  <c r="AW72" i="11"/>
  <c r="AW49" i="11"/>
  <c r="AW42" i="11"/>
  <c r="AW86" i="11"/>
  <c r="AW16" i="11"/>
  <c r="AW67" i="11"/>
  <c r="AW79" i="11"/>
  <c r="AW90" i="11"/>
  <c r="AW52" i="11"/>
  <c r="AW10" i="11"/>
  <c r="AW53" i="11"/>
  <c r="AW28" i="11"/>
  <c r="AW38" i="11"/>
  <c r="AW54" i="11"/>
  <c r="AW47" i="11"/>
  <c r="AW80" i="11"/>
  <c r="AW69" i="11"/>
  <c r="AW15" i="11"/>
  <c r="AW77" i="11"/>
  <c r="AW102" i="11"/>
  <c r="AW84" i="11"/>
  <c r="AW78" i="11"/>
  <c r="AW85" i="11"/>
  <c r="AW44" i="11"/>
  <c r="AW76" i="11"/>
  <c r="AW14" i="11"/>
  <c r="AW29" i="11"/>
  <c r="AW11" i="11"/>
  <c r="AW48" i="11"/>
  <c r="AW36" i="11"/>
  <c r="AW105" i="11"/>
  <c r="AW64" i="11"/>
  <c r="AW30" i="11"/>
  <c r="AW18" i="11"/>
  <c r="AW93" i="11"/>
  <c r="AW21" i="11"/>
  <c r="AW63" i="11"/>
  <c r="AW57" i="11"/>
  <c r="AW45" i="11"/>
  <c r="AW71" i="11"/>
  <c r="AW19" i="11"/>
  <c r="AW96" i="11"/>
  <c r="AW98" i="11"/>
  <c r="AW104" i="11"/>
  <c r="AW43" i="11"/>
  <c r="AW87" i="11"/>
  <c r="AW26" i="11"/>
  <c r="AW73" i="11"/>
  <c r="AW82" i="11"/>
  <c r="AW59" i="11"/>
  <c r="AW56" i="11"/>
  <c r="AW13" i="11"/>
  <c r="AW66" i="11"/>
  <c r="AW17" i="11"/>
  <c r="AW35" i="11"/>
  <c r="AW24" i="11"/>
  <c r="AW37" i="11"/>
  <c r="AW33" i="11"/>
  <c r="AW40" i="11"/>
  <c r="AW50" i="11"/>
  <c r="AW27" i="11"/>
  <c r="AW9" i="11"/>
  <c r="AW62" i="11"/>
  <c r="AW88" i="11"/>
  <c r="AW94" i="11"/>
  <c r="AW89" i="11"/>
  <c r="AW70" i="11"/>
  <c r="AW83" i="11"/>
  <c r="AW32" i="11"/>
  <c r="AW41" i="11"/>
  <c r="AW60" i="11"/>
  <c r="AW75" i="11"/>
  <c r="AW7" i="11"/>
  <c r="AW22" i="11"/>
  <c r="AW101" i="11"/>
  <c r="AW97" i="11"/>
  <c r="AW25" i="11"/>
  <c r="AW51" i="11"/>
  <c r="AW39" i="11"/>
  <c r="AW55" i="11"/>
  <c r="AW20" i="11"/>
  <c r="AW91" i="11"/>
  <c r="AW68" i="11"/>
  <c r="AW99" i="11"/>
  <c r="AW92" i="11"/>
  <c r="AW58" i="11"/>
  <c r="AW8" i="11"/>
  <c r="AW103" i="11"/>
  <c r="AW95" i="11"/>
  <c r="AW61" i="11"/>
  <c r="AW31" i="11"/>
  <c r="AW23" i="11"/>
  <c r="B112" i="11" l="1"/>
  <c r="I2" i="4" l="1"/>
  <c r="Y2" i="67" s="1"/>
  <c r="AI2" i="67" s="1"/>
  <c r="AV2" i="67" s="1"/>
  <c r="C14" i="12" l="1"/>
  <c r="BH6" i="11"/>
  <c r="AT15" i="67" l="1"/>
  <c r="AF47" i="32"/>
  <c r="AQ108" i="11"/>
  <c r="AR6" i="11"/>
  <c r="AR108" i="11" s="1"/>
  <c r="AT67" i="67" l="1"/>
  <c r="AU15" i="67"/>
  <c r="Z45" i="32"/>
  <c r="AC45" i="32"/>
  <c r="H23" i="7"/>
  <c r="H14" i="7"/>
  <c r="H20" i="7"/>
  <c r="H19" i="7"/>
  <c r="H15" i="7"/>
  <c r="H16" i="7"/>
  <c r="H18" i="7"/>
  <c r="H24" i="7"/>
  <c r="H25" i="7"/>
  <c r="A16" i="7" l="1"/>
  <c r="A36" i="4" s="1"/>
  <c r="J16" i="7"/>
  <c r="A20" i="7"/>
  <c r="A40" i="4" s="1"/>
  <c r="J20" i="7"/>
  <c r="A25" i="7"/>
  <c r="A45" i="4" s="1"/>
  <c r="J25" i="7"/>
  <c r="A23" i="7"/>
  <c r="A43" i="4" s="1"/>
  <c r="J23" i="7"/>
  <c r="A24" i="7"/>
  <c r="A44" i="4" s="1"/>
  <c r="J24" i="7"/>
  <c r="A15" i="7"/>
  <c r="A35" i="4" s="1"/>
  <c r="J15" i="7"/>
  <c r="A19" i="7"/>
  <c r="A39" i="4" s="1"/>
  <c r="J19" i="7"/>
  <c r="A14" i="7"/>
  <c r="A34" i="4" s="1"/>
  <c r="J14" i="7"/>
  <c r="A18" i="7"/>
  <c r="A38" i="4" s="1"/>
  <c r="J18" i="7"/>
  <c r="AF45" i="32"/>
  <c r="AP104" i="11"/>
  <c r="AP60" i="11" l="1"/>
  <c r="AP80" i="11"/>
  <c r="AP37" i="11"/>
  <c r="AP36" i="11"/>
  <c r="AP14" i="11"/>
  <c r="AP56" i="11"/>
  <c r="AP91" i="11"/>
  <c r="AP74" i="11"/>
  <c r="AP99" i="11"/>
  <c r="AP62" i="11"/>
  <c r="AP20" i="11"/>
  <c r="AP86" i="11"/>
  <c r="AP81" i="11"/>
  <c r="AP22" i="11"/>
  <c r="AP90" i="11"/>
  <c r="AP67" i="11"/>
  <c r="AP92" i="11"/>
  <c r="AP38" i="11"/>
  <c r="AP75" i="11"/>
  <c r="AP79" i="11"/>
  <c r="AP27" i="11"/>
  <c r="AP34" i="11"/>
  <c r="AP54" i="11"/>
  <c r="AP105" i="11"/>
  <c r="AP103" i="11"/>
  <c r="AP40" i="11"/>
  <c r="AP73" i="11"/>
  <c r="AP42" i="11"/>
  <c r="AP7" i="11"/>
  <c r="AP32" i="11"/>
  <c r="AP15" i="11"/>
  <c r="AP88" i="11"/>
  <c r="AP16" i="11"/>
  <c r="AP100" i="11"/>
  <c r="AP59" i="11"/>
  <c r="AP53" i="11"/>
  <c r="AP76" i="11"/>
  <c r="AP43" i="11"/>
  <c r="AP55" i="11"/>
  <c r="AP25" i="11"/>
  <c r="AP17" i="11"/>
  <c r="AP64" i="11"/>
  <c r="AP46" i="11"/>
  <c r="AP84" i="11"/>
  <c r="AP72" i="11"/>
  <c r="AP12" i="11"/>
  <c r="AP29" i="11"/>
  <c r="AP83" i="11"/>
  <c r="AP41" i="11"/>
  <c r="AP49" i="11"/>
  <c r="AP11" i="11"/>
  <c r="AP61" i="11"/>
  <c r="AP96" i="11"/>
  <c r="AP30" i="11"/>
  <c r="AP58" i="11"/>
  <c r="AP95" i="11"/>
  <c r="AP71" i="11"/>
  <c r="AP89" i="11"/>
  <c r="AP10" i="11"/>
  <c r="AP48" i="11"/>
  <c r="AP33" i="11"/>
  <c r="AP23" i="11"/>
  <c r="AP69" i="11"/>
  <c r="AP39" i="11"/>
  <c r="AP85" i="11"/>
  <c r="AP68" i="11"/>
  <c r="AP13" i="11"/>
  <c r="AP70" i="11"/>
  <c r="AP94" i="11"/>
  <c r="AP9" i="11"/>
  <c r="AP44" i="11"/>
  <c r="AP52" i="11"/>
  <c r="AP82" i="11"/>
  <c r="AP97" i="11"/>
  <c r="AP45" i="11"/>
  <c r="AP87" i="11"/>
  <c r="AP66" i="11"/>
  <c r="AP35" i="11"/>
  <c r="AP50" i="11"/>
  <c r="AP57" i="11"/>
  <c r="AP78" i="11"/>
  <c r="AP31" i="11"/>
  <c r="AP102" i="11"/>
  <c r="AP26" i="11"/>
  <c r="AP63" i="11"/>
  <c r="AP8" i="11"/>
  <c r="AP47" i="11"/>
  <c r="AP24" i="11"/>
  <c r="AP51" i="11"/>
  <c r="AP19" i="11"/>
  <c r="AP65" i="11"/>
  <c r="AP101" i="11"/>
  <c r="AP77" i="11"/>
  <c r="AP18" i="11"/>
  <c r="AP93" i="11"/>
  <c r="AP28" i="11"/>
  <c r="AP98" i="11"/>
  <c r="AP21" i="11"/>
  <c r="H22" i="7" l="1"/>
  <c r="A22" i="7" l="1"/>
  <c r="A42" i="4" s="1"/>
  <c r="J22" i="7"/>
  <c r="H13" i="7" l="1"/>
  <c r="A13" i="7" l="1"/>
  <c r="A33" i="4" s="1"/>
  <c r="J13" i="7"/>
  <c r="H17" i="7"/>
  <c r="A17" i="7" l="1"/>
  <c r="A37" i="4" s="1"/>
  <c r="J17" i="7"/>
  <c r="H26" i="7"/>
  <c r="A26" i="7" l="1"/>
  <c r="A46" i="4" s="1"/>
  <c r="J26" i="7"/>
  <c r="H29" i="7" l="1"/>
  <c r="A29" i="7" l="1"/>
  <c r="A49" i="4" s="1"/>
  <c r="J29" i="7"/>
  <c r="H34" i="7"/>
  <c r="A34" i="7" l="1"/>
  <c r="A54" i="4" s="1"/>
  <c r="J34" i="7"/>
  <c r="AA33" i="7"/>
  <c r="X38" i="7"/>
  <c r="Y11" i="7" l="1"/>
  <c r="AG11" i="7" s="1"/>
  <c r="AI11" i="7" s="1"/>
  <c r="AP11" i="7" s="1"/>
  <c r="G5" i="11" s="1"/>
  <c r="H31" i="7"/>
  <c r="Y54" i="7"/>
  <c r="AG54" i="7" s="1"/>
  <c r="AI54" i="7" s="1"/>
  <c r="AP54" i="7" s="1"/>
  <c r="AD5" i="11" s="1"/>
  <c r="Y24" i="7"/>
  <c r="AG24" i="7" s="1"/>
  <c r="AO24" i="7" s="1"/>
  <c r="Q4" i="11" s="1"/>
  <c r="X19" i="7"/>
  <c r="AF19" i="7" s="1"/>
  <c r="AN19" i="7" s="1"/>
  <c r="X20" i="7"/>
  <c r="AF20" i="7" s="1"/>
  <c r="AN20" i="7" s="1"/>
  <c r="W78" i="7"/>
  <c r="AB78" i="7" s="1"/>
  <c r="AC78" i="7" s="1"/>
  <c r="AX78" i="7" s="1"/>
  <c r="AY78" i="7" s="1"/>
  <c r="W24" i="7"/>
  <c r="AA22" i="7"/>
  <c r="W33" i="7"/>
  <c r="AB33" i="7" s="1"/>
  <c r="AC33" i="7" s="1"/>
  <c r="AX33" i="7" s="1"/>
  <c r="AY33" i="7" s="1"/>
  <c r="X23" i="7"/>
  <c r="AF23" i="7" s="1"/>
  <c r="AN23" i="7" s="1"/>
  <c r="AA14" i="7"/>
  <c r="AA32" i="7"/>
  <c r="Y14" i="7"/>
  <c r="AG14" i="7" s="1"/>
  <c r="AO14" i="7" s="1"/>
  <c r="J4" i="11" s="1"/>
  <c r="X14" i="7"/>
  <c r="J4" i="27" s="1"/>
  <c r="J8" i="27" s="1"/>
  <c r="J10" i="27" s="1"/>
  <c r="AA37" i="7"/>
  <c r="X42" i="7"/>
  <c r="AF42" i="7" s="1"/>
  <c r="AN42" i="7" s="1"/>
  <c r="W35" i="7"/>
  <c r="X78" i="7"/>
  <c r="AA36" i="7"/>
  <c r="W34" i="7"/>
  <c r="Y13" i="7"/>
  <c r="J5" i="28" s="1"/>
  <c r="X11" i="7"/>
  <c r="Z11" i="7" s="1"/>
  <c r="J1" i="47" s="1"/>
  <c r="W23" i="7"/>
  <c r="AA12" i="7"/>
  <c r="AA8" i="7"/>
  <c r="W14" i="7"/>
  <c r="Y35" i="7"/>
  <c r="AG35" i="7" s="1"/>
  <c r="AI35" i="7" s="1"/>
  <c r="AP35" i="7" s="1"/>
  <c r="Y5" i="11" s="1"/>
  <c r="AA54" i="7"/>
  <c r="W54" i="7"/>
  <c r="Y7" i="7"/>
  <c r="AG7" i="7" s="1"/>
  <c r="AI7" i="7" s="1"/>
  <c r="AP7" i="7" s="1"/>
  <c r="C5" i="11" s="1"/>
  <c r="AA78" i="7"/>
  <c r="AA6" i="7"/>
  <c r="AA35" i="7"/>
  <c r="W18" i="7"/>
  <c r="Y36" i="7"/>
  <c r="AG36" i="7" s="1"/>
  <c r="AO36" i="7" s="1"/>
  <c r="Z4" i="11" s="1"/>
  <c r="Y6" i="7"/>
  <c r="AG6" i="7" s="1"/>
  <c r="AO6" i="7" s="1"/>
  <c r="B4" i="11" s="1"/>
  <c r="X33" i="7"/>
  <c r="AF33" i="7" s="1"/>
  <c r="AN33" i="7" s="1"/>
  <c r="AA24" i="7"/>
  <c r="X12" i="7"/>
  <c r="Z12" i="7" s="1"/>
  <c r="J1" i="48" s="1"/>
  <c r="W42" i="7"/>
  <c r="W8" i="7"/>
  <c r="AB8" i="7" s="1"/>
  <c r="AC8" i="7" s="1"/>
  <c r="AX8" i="7" s="1"/>
  <c r="Y26" i="7"/>
  <c r="J5" i="38" s="1"/>
  <c r="X24" i="7"/>
  <c r="AF24" i="7" s="1"/>
  <c r="AN24" i="7" s="1"/>
  <c r="AA20" i="7"/>
  <c r="X31" i="7"/>
  <c r="AF31" i="7" s="1"/>
  <c r="AN31" i="7" s="1"/>
  <c r="W36" i="7"/>
  <c r="AB36" i="7" s="1"/>
  <c r="AC36" i="7" s="1"/>
  <c r="AX36" i="7" s="1"/>
  <c r="AY36" i="7" s="1"/>
  <c r="W20" i="7"/>
  <c r="Y25" i="7"/>
  <c r="J5" i="37" s="1"/>
  <c r="AA31" i="7"/>
  <c r="AA42" i="7"/>
  <c r="X9" i="7"/>
  <c r="AF9" i="7" s="1"/>
  <c r="AN9" i="7" s="1"/>
  <c r="X35" i="7"/>
  <c r="AF35" i="7" s="1"/>
  <c r="AN35" i="7" s="1"/>
  <c r="W38" i="7"/>
  <c r="W22" i="7"/>
  <c r="W6" i="7"/>
  <c r="Y32" i="7"/>
  <c r="AG32" i="7" s="1"/>
  <c r="AI32" i="7" s="1"/>
  <c r="AP32" i="7" s="1"/>
  <c r="V5" i="11" s="1"/>
  <c r="Y10" i="7"/>
  <c r="AG10" i="7" s="1"/>
  <c r="AI10" i="7" s="1"/>
  <c r="AP10" i="7" s="1"/>
  <c r="F5" i="11" s="1"/>
  <c r="X10" i="7"/>
  <c r="AF10" i="7" s="1"/>
  <c r="AN10" i="7" s="1"/>
  <c r="AA11" i="7"/>
  <c r="AA66" i="7"/>
  <c r="AA30" i="7"/>
  <c r="AA38" i="7"/>
  <c r="W30" i="7"/>
  <c r="W10" i="7"/>
  <c r="Y42" i="7"/>
  <c r="AG42" i="7" s="1"/>
  <c r="AO42" i="7" s="1"/>
  <c r="AC4" i="11" s="1"/>
  <c r="Y21" i="7"/>
  <c r="AG21" i="7" s="1"/>
  <c r="AO21" i="7" s="1"/>
  <c r="N4" i="11" s="1"/>
  <c r="X25" i="7"/>
  <c r="J4" i="37" s="1"/>
  <c r="J8" i="37" s="1"/>
  <c r="AA23" i="7"/>
  <c r="X54" i="7"/>
  <c r="AF54" i="7" s="1"/>
  <c r="AN54" i="7" s="1"/>
  <c r="AA9" i="7"/>
  <c r="X30" i="7"/>
  <c r="AF30" i="7" s="1"/>
  <c r="AN30" i="7" s="1"/>
  <c r="W26" i="7"/>
  <c r="W12" i="7"/>
  <c r="AB12" i="7" s="1"/>
  <c r="AC12" i="7" s="1"/>
  <c r="AX12" i="7" s="1"/>
  <c r="AY12" i="7" s="1"/>
  <c r="Y37" i="7"/>
  <c r="AG37" i="7" s="1"/>
  <c r="Y18" i="7"/>
  <c r="AG18" i="7" s="1"/>
  <c r="AO18" i="7" s="1"/>
  <c r="K4" i="11" s="1"/>
  <c r="Y31" i="7"/>
  <c r="AG31" i="7" s="1"/>
  <c r="AI31" i="7" s="1"/>
  <c r="Y20" i="7"/>
  <c r="AG20" i="7" s="1"/>
  <c r="AI20" i="7" s="1"/>
  <c r="AP20" i="7" s="1"/>
  <c r="M5" i="11" s="1"/>
  <c r="Y9" i="7"/>
  <c r="AG9" i="7" s="1"/>
  <c r="AI9" i="7" s="1"/>
  <c r="AP9" i="7" s="1"/>
  <c r="AA7" i="7"/>
  <c r="X6" i="7"/>
  <c r="X32" i="7"/>
  <c r="AF32" i="7" s="1"/>
  <c r="AN32" i="7" s="1"/>
  <c r="X13" i="7"/>
  <c r="J4" i="28" s="1"/>
  <c r="J8" i="28" s="1"/>
  <c r="J10" i="28" s="1"/>
  <c r="J11" i="28" s="1"/>
  <c r="AA10" i="7"/>
  <c r="AA19" i="7"/>
  <c r="AA34" i="7"/>
  <c r="X18" i="7"/>
  <c r="W37" i="7"/>
  <c r="AB37" i="7" s="1"/>
  <c r="AC37" i="7" s="1"/>
  <c r="AX37" i="7" s="1"/>
  <c r="AY37" i="7" s="1"/>
  <c r="W25" i="7"/>
  <c r="W11" i="7"/>
  <c r="W9" i="7"/>
  <c r="Y38" i="7"/>
  <c r="Y30" i="7"/>
  <c r="AG30" i="7" s="1"/>
  <c r="AO30" i="7" s="1"/>
  <c r="T4" i="11" s="1"/>
  <c r="Y19" i="7"/>
  <c r="AG19" i="7" s="1"/>
  <c r="AO19" i="7" s="1"/>
  <c r="L4" i="11" s="1"/>
  <c r="Y8" i="7"/>
  <c r="AG8" i="7" s="1"/>
  <c r="AI8" i="7" s="1"/>
  <c r="AP8" i="7" s="1"/>
  <c r="D5" i="11" s="1"/>
  <c r="AA26" i="7"/>
  <c r="X66" i="7"/>
  <c r="X36" i="7"/>
  <c r="AF36" i="7" s="1"/>
  <c r="AN36" i="7" s="1"/>
  <c r="X34" i="7"/>
  <c r="AF34" i="7" s="1"/>
  <c r="AN34" i="7" s="1"/>
  <c r="X21" i="7"/>
  <c r="W32" i="7"/>
  <c r="AB32" i="7" s="1"/>
  <c r="AC32" i="7" s="1"/>
  <c r="AX32" i="7" s="1"/>
  <c r="AY32" i="7" s="1"/>
  <c r="W21" i="7"/>
  <c r="W13" i="7"/>
  <c r="Y78" i="7"/>
  <c r="Y34" i="7"/>
  <c r="AG34" i="7" s="1"/>
  <c r="AO34" i="7" s="1"/>
  <c r="X4" i="11" s="1"/>
  <c r="Y23" i="7"/>
  <c r="AG23" i="7" s="1"/>
  <c r="AO23" i="7" s="1"/>
  <c r="P4" i="11" s="1"/>
  <c r="Y12" i="7"/>
  <c r="AG12" i="7" s="1"/>
  <c r="AI12" i="7" s="1"/>
  <c r="AP12" i="7" s="1"/>
  <c r="H5" i="11" s="1"/>
  <c r="AA25" i="7"/>
  <c r="AA18" i="7"/>
  <c r="X37" i="7"/>
  <c r="J4" i="39" s="1"/>
  <c r="J8" i="39" s="1"/>
  <c r="AA21" i="7"/>
  <c r="X7" i="7"/>
  <c r="Z7" i="7" s="1"/>
  <c r="J1" i="43" s="1"/>
  <c r="AA13" i="7"/>
  <c r="X22" i="7"/>
  <c r="AF22" i="7" s="1"/>
  <c r="AN22" i="7" s="1"/>
  <c r="X8" i="7"/>
  <c r="Z8" i="7" s="1"/>
  <c r="J1" i="44" s="1"/>
  <c r="X26" i="7"/>
  <c r="W66" i="7"/>
  <c r="W31" i="7"/>
  <c r="W19" i="7"/>
  <c r="AB19" i="7" s="1"/>
  <c r="AC19" i="7" s="1"/>
  <c r="AX19" i="7" s="1"/>
  <c r="AY19" i="7" s="1"/>
  <c r="W7" i="7"/>
  <c r="Y66" i="7"/>
  <c r="AG66" i="7" s="1"/>
  <c r="AI66" i="7" s="1"/>
  <c r="AP66" i="7" s="1"/>
  <c r="AE5" i="11" s="1"/>
  <c r="Y33" i="7"/>
  <c r="AG33" i="7" s="1"/>
  <c r="AO33" i="7" s="1"/>
  <c r="W4" i="11" s="1"/>
  <c r="Y22" i="7"/>
  <c r="AG22" i="7" s="1"/>
  <c r="AI22" i="7" s="1"/>
  <c r="AP22" i="7" s="1"/>
  <c r="O5" i="11" s="1"/>
  <c r="A31" i="7"/>
  <c r="A51" i="4" s="1"/>
  <c r="J31" i="7"/>
  <c r="AF38" i="7"/>
  <c r="AN38" i="7" s="1"/>
  <c r="J14" i="40" s="1"/>
  <c r="J4" i="40"/>
  <c r="J8" i="40" s="1"/>
  <c r="AB11" i="7" l="1"/>
  <c r="AC11" i="7" s="1"/>
  <c r="AX11" i="7" s="1"/>
  <c r="AY11" i="7" s="1"/>
  <c r="AF18" i="7"/>
  <c r="AN18" i="7" s="1"/>
  <c r="AO11" i="7"/>
  <c r="G4" i="11" s="1"/>
  <c r="AB24" i="7"/>
  <c r="AC24" i="7" s="1"/>
  <c r="AX24" i="7" s="1"/>
  <c r="AY24" i="7" s="1"/>
  <c r="AB20" i="7"/>
  <c r="AC20" i="7" s="1"/>
  <c r="AX20" i="7" s="1"/>
  <c r="AY20" i="7" s="1"/>
  <c r="Z21" i="7"/>
  <c r="J1" i="53" s="1"/>
  <c r="AB9" i="7"/>
  <c r="AC9" i="7" s="1"/>
  <c r="AX9" i="7" s="1"/>
  <c r="AY9" i="7" s="1"/>
  <c r="AB66" i="7"/>
  <c r="AC66" i="7" s="1"/>
  <c r="AX66" i="7" s="1"/>
  <c r="AY66" i="7" s="1"/>
  <c r="AB14" i="7"/>
  <c r="AC14" i="7" s="1"/>
  <c r="AX14" i="7" s="1"/>
  <c r="AY14" i="7" s="1"/>
  <c r="AB22" i="7"/>
  <c r="AC22" i="7" s="1"/>
  <c r="AX22" i="7" s="1"/>
  <c r="AY22" i="7" s="1"/>
  <c r="AB10" i="7"/>
  <c r="AC10" i="7" s="1"/>
  <c r="AX10" i="7" s="1"/>
  <c r="AY10" i="7" s="1"/>
  <c r="Z19" i="7"/>
  <c r="J1" i="51" s="1"/>
  <c r="AI24" i="7"/>
  <c r="AP24" i="7" s="1"/>
  <c r="Q5" i="11" s="1"/>
  <c r="Z20" i="7"/>
  <c r="J1" i="52" s="1"/>
  <c r="AO54" i="7"/>
  <c r="AD4" i="11" s="1"/>
  <c r="AF66" i="7"/>
  <c r="AN66" i="7" s="1"/>
  <c r="J1" i="26" s="1"/>
  <c r="AB35" i="7"/>
  <c r="AC35" i="7" s="1"/>
  <c r="AX35" i="7" s="1"/>
  <c r="AY35" i="7" s="1"/>
  <c r="AB21" i="7"/>
  <c r="AC21" i="7" s="1"/>
  <c r="AX21" i="7" s="1"/>
  <c r="AY21" i="7" s="1"/>
  <c r="AB31" i="7"/>
  <c r="AC31" i="7" s="1"/>
  <c r="AX31" i="7" s="1"/>
  <c r="AY31" i="7" s="1"/>
  <c r="AB34" i="7"/>
  <c r="AC34" i="7" s="1"/>
  <c r="AX34" i="7" s="1"/>
  <c r="AY34" i="7" s="1"/>
  <c r="J5" i="27"/>
  <c r="AB23" i="7"/>
  <c r="AC23" i="7" s="1"/>
  <c r="AX23" i="7" s="1"/>
  <c r="AY23" i="7" s="1"/>
  <c r="Z23" i="7"/>
  <c r="J1" i="57" s="1"/>
  <c r="Z14" i="7"/>
  <c r="J1" i="27" s="1"/>
  <c r="J2" i="27" s="1"/>
  <c r="Z42" i="7"/>
  <c r="J1" i="36" s="1"/>
  <c r="J2" i="36" s="1"/>
  <c r="AF14" i="7"/>
  <c r="AN14" i="7" s="1"/>
  <c r="J14" i="27" s="1"/>
  <c r="Z78" i="7"/>
  <c r="F4" i="68" s="1"/>
  <c r="Z26" i="7"/>
  <c r="J1" i="38" s="1"/>
  <c r="J2" i="38" s="1"/>
  <c r="AB54" i="7"/>
  <c r="AC54" i="7" s="1"/>
  <c r="AX54" i="7" s="1"/>
  <c r="AY54" i="7" s="1"/>
  <c r="AB42" i="7"/>
  <c r="AC42" i="7" s="1"/>
  <c r="AX42" i="7" s="1"/>
  <c r="AY42" i="7" s="1"/>
  <c r="AG13" i="7"/>
  <c r="AO13" i="7" s="1"/>
  <c r="I4" i="11" s="1"/>
  <c r="AF11" i="7"/>
  <c r="AN11" i="7" s="1"/>
  <c r="AO35" i="7"/>
  <c r="AR35" i="7" s="1"/>
  <c r="H4" i="63" s="1"/>
  <c r="Y6" i="11" s="1"/>
  <c r="Y108" i="11" s="1"/>
  <c r="AB25" i="7"/>
  <c r="AC25" i="7" s="1"/>
  <c r="AX25" i="7" s="1"/>
  <c r="AY25" i="7" s="1"/>
  <c r="AB26" i="7"/>
  <c r="AC26" i="7" s="1"/>
  <c r="AX26" i="7" s="1"/>
  <c r="AY26" i="7" s="1"/>
  <c r="AB13" i="7"/>
  <c r="AC13" i="7" s="1"/>
  <c r="AX13" i="7" s="1"/>
  <c r="AY13" i="7" s="1"/>
  <c r="AB6" i="7"/>
  <c r="AC6" i="7" s="1"/>
  <c r="AX6" i="7" s="1"/>
  <c r="AY6" i="7" s="1"/>
  <c r="AG25" i="7"/>
  <c r="AO25" i="7" s="1"/>
  <c r="R4" i="11" s="1"/>
  <c r="Z6" i="7"/>
  <c r="J1" i="10" s="1"/>
  <c r="J2" i="10" s="1"/>
  <c r="Z9" i="7"/>
  <c r="J1" i="45" s="1"/>
  <c r="AF12" i="7"/>
  <c r="AN12" i="7" s="1"/>
  <c r="AB30" i="7"/>
  <c r="AC30" i="7" s="1"/>
  <c r="AX30" i="7" s="1"/>
  <c r="AY30" i="7" s="1"/>
  <c r="AO10" i="7"/>
  <c r="F4" i="11" s="1"/>
  <c r="Z24" i="7"/>
  <c r="J1" i="58" s="1"/>
  <c r="Z25" i="7"/>
  <c r="J1" i="37" s="1"/>
  <c r="J2" i="37" s="1"/>
  <c r="AI18" i="7"/>
  <c r="AP18" i="7" s="1"/>
  <c r="K5" i="11" s="1"/>
  <c r="AI36" i="7"/>
  <c r="AP36" i="7" s="1"/>
  <c r="Z5" i="11" s="1"/>
  <c r="AO31" i="7"/>
  <c r="U4" i="11" s="1"/>
  <c r="AI6" i="7"/>
  <c r="AP6" i="7" s="1"/>
  <c r="B5" i="11" s="1"/>
  <c r="Z10" i="7"/>
  <c r="J1" i="46" s="1"/>
  <c r="AB18" i="7"/>
  <c r="AC18" i="7" s="1"/>
  <c r="AX18" i="7" s="1"/>
  <c r="AY18" i="7" s="1"/>
  <c r="AI23" i="7"/>
  <c r="AP23" i="7" s="1"/>
  <c r="P5" i="11" s="1"/>
  <c r="Z31" i="7"/>
  <c r="J1" i="59" s="1"/>
  <c r="AI21" i="7"/>
  <c r="AP21" i="7" s="1"/>
  <c r="AG26" i="7"/>
  <c r="AO26" i="7" s="1"/>
  <c r="S4" i="11" s="1"/>
  <c r="J5" i="39"/>
  <c r="AI42" i="7"/>
  <c r="AP42" i="7" s="1"/>
  <c r="AC5" i="11" s="1"/>
  <c r="AO9" i="7"/>
  <c r="E4" i="11" s="1"/>
  <c r="Z33" i="7"/>
  <c r="J1" i="61" s="1"/>
  <c r="AB38" i="7"/>
  <c r="AC38" i="7" s="1"/>
  <c r="AX38" i="7" s="1"/>
  <c r="AY38" i="7" s="1"/>
  <c r="AO32" i="7"/>
  <c r="V4" i="11" s="1"/>
  <c r="AF6" i="7"/>
  <c r="Z30" i="7"/>
  <c r="J1" i="14" s="1"/>
  <c r="J2" i="14" s="1"/>
  <c r="AO20" i="7"/>
  <c r="M4" i="11" s="1"/>
  <c r="AI30" i="7"/>
  <c r="AP30" i="7" s="1"/>
  <c r="T5" i="11" s="1"/>
  <c r="Z37" i="7"/>
  <c r="J1" i="39" s="1"/>
  <c r="J2" i="39" s="1"/>
  <c r="Y3" i="7"/>
  <c r="B5" i="32" s="1"/>
  <c r="AI19" i="7"/>
  <c r="AP19" i="7" s="1"/>
  <c r="AF25" i="7"/>
  <c r="AN25" i="7" s="1"/>
  <c r="J14" i="37" s="1"/>
  <c r="Z35" i="7"/>
  <c r="J1" i="63" s="1"/>
  <c r="Z66" i="7"/>
  <c r="Z54" i="7"/>
  <c r="J1" i="15" s="1"/>
  <c r="J2" i="15" s="1"/>
  <c r="AA3" i="7"/>
  <c r="B7" i="32" s="1"/>
  <c r="AO66" i="7"/>
  <c r="AE4" i="11" s="1"/>
  <c r="H2" i="26"/>
  <c r="H3" i="26" s="1"/>
  <c r="AI34" i="7"/>
  <c r="AP34" i="7" s="1"/>
  <c r="X5" i="11" s="1"/>
  <c r="Z32" i="7"/>
  <c r="J1" i="60" s="1"/>
  <c r="AO22" i="7"/>
  <c r="O4" i="11" s="1"/>
  <c r="AF7" i="7"/>
  <c r="AN7" i="7" s="1"/>
  <c r="J5" i="40"/>
  <c r="Z36" i="7"/>
  <c r="J1" i="64" s="1"/>
  <c r="Z22" i="7"/>
  <c r="J1" i="54" s="1"/>
  <c r="W3" i="7"/>
  <c r="B8" i="32" s="1"/>
  <c r="AF8" i="7"/>
  <c r="AN8" i="7" s="1"/>
  <c r="AF37" i="7"/>
  <c r="AN37" i="7" s="1"/>
  <c r="J14" i="39" s="1"/>
  <c r="AG38" i="7"/>
  <c r="AO38" i="7" s="1"/>
  <c r="AB4" i="11" s="1"/>
  <c r="Z38" i="7"/>
  <c r="J1" i="40" s="1"/>
  <c r="J2" i="40" s="1"/>
  <c r="Z34" i="7"/>
  <c r="J1" i="62" s="1"/>
  <c r="J4" i="38"/>
  <c r="J8" i="38" s="1"/>
  <c r="J10" i="38" s="1"/>
  <c r="J11" i="38" s="1"/>
  <c r="AF26" i="7"/>
  <c r="AN26" i="7" s="1"/>
  <c r="J14" i="38" s="1"/>
  <c r="X3" i="7"/>
  <c r="AB7" i="7"/>
  <c r="AC7" i="7" s="1"/>
  <c r="AX7" i="7" s="1"/>
  <c r="AY7" i="7" s="1"/>
  <c r="Z18" i="7"/>
  <c r="J1" i="13" s="1"/>
  <c r="J2" i="13" s="1"/>
  <c r="AF13" i="7"/>
  <c r="AN13" i="7" s="1"/>
  <c r="J14" i="28" s="1"/>
  <c r="J17" i="28" s="1"/>
  <c r="H1" i="28" s="1"/>
  <c r="AO12" i="7"/>
  <c r="H4" i="11" s="1"/>
  <c r="AI33" i="7"/>
  <c r="AP33" i="7" s="1"/>
  <c r="AR33" i="7" s="1"/>
  <c r="H4" i="61" s="1"/>
  <c r="W6" i="11" s="1"/>
  <c r="W108" i="11" s="1"/>
  <c r="AF21" i="7"/>
  <c r="AN21" i="7" s="1"/>
  <c r="Z13" i="7"/>
  <c r="J1" i="28" s="1"/>
  <c r="J2" i="28" s="1"/>
  <c r="E5" i="11"/>
  <c r="AO37" i="7"/>
  <c r="AA4" i="11" s="1"/>
  <c r="AY8" i="7"/>
  <c r="J10" i="40"/>
  <c r="J11" i="40" s="1"/>
  <c r="J10" i="39"/>
  <c r="J10" i="37"/>
  <c r="AO7" i="7"/>
  <c r="AP31" i="7"/>
  <c r="AO8" i="7"/>
  <c r="D4" i="11" s="1"/>
  <c r="AR24" i="7"/>
  <c r="H4" i="58" s="1"/>
  <c r="Q6" i="11" s="1"/>
  <c r="Q108" i="11" s="1"/>
  <c r="AR11" i="7" l="1"/>
  <c r="AR54" i="7"/>
  <c r="H4" i="15" s="1"/>
  <c r="AD6" i="11" s="1"/>
  <c r="AD108" i="11" s="1"/>
  <c r="F11" i="68"/>
  <c r="G11" i="68" s="1"/>
  <c r="H11" i="68" s="1"/>
  <c r="AF9" i="11" s="1"/>
  <c r="S11" i="68"/>
  <c r="AN78" i="7" s="1"/>
  <c r="F36" i="68"/>
  <c r="G36" i="68" s="1"/>
  <c r="H36" i="68" s="1"/>
  <c r="AF34" i="11" s="1"/>
  <c r="F47" i="68"/>
  <c r="G47" i="68" s="1"/>
  <c r="H47" i="68" s="1"/>
  <c r="AF45" i="11" s="1"/>
  <c r="F50" i="68"/>
  <c r="G50" i="68" s="1"/>
  <c r="H50" i="68" s="1"/>
  <c r="AF48" i="11" s="1"/>
  <c r="U11" i="68"/>
  <c r="AP78" i="7" s="1"/>
  <c r="F23" i="68"/>
  <c r="G23" i="68" s="1"/>
  <c r="H23" i="68" s="1"/>
  <c r="AF21" i="11" s="1"/>
  <c r="F56" i="68"/>
  <c r="G56" i="68" s="1"/>
  <c r="H56" i="68" s="1"/>
  <c r="AF54" i="11" s="1"/>
  <c r="F6" i="68"/>
  <c r="G6" i="68" s="1"/>
  <c r="H6" i="68" s="1"/>
  <c r="AF4" i="11" s="1"/>
  <c r="F22" i="68"/>
  <c r="G22" i="68" s="1"/>
  <c r="H22" i="68" s="1"/>
  <c r="AF20" i="11" s="1"/>
  <c r="F43" i="68"/>
  <c r="G43" i="68" s="1"/>
  <c r="H43" i="68" s="1"/>
  <c r="AF41" i="11" s="1"/>
  <c r="F38" i="68"/>
  <c r="G38" i="68" s="1"/>
  <c r="H38" i="68" s="1"/>
  <c r="AF36" i="11" s="1"/>
  <c r="F45" i="68"/>
  <c r="G45" i="68" s="1"/>
  <c r="H45" i="68" s="1"/>
  <c r="AF43" i="11" s="1"/>
  <c r="P11" i="68"/>
  <c r="AK78" i="7" s="1"/>
  <c r="F26" i="68"/>
  <c r="G26" i="68" s="1"/>
  <c r="H26" i="68" s="1"/>
  <c r="AF24" i="11" s="1"/>
  <c r="F19" i="68"/>
  <c r="G19" i="68" s="1"/>
  <c r="H19" i="68" s="1"/>
  <c r="AF17" i="11" s="1"/>
  <c r="F10" i="68"/>
  <c r="G10" i="68" s="1"/>
  <c r="H10" i="68" s="1"/>
  <c r="AF8" i="11" s="1"/>
  <c r="F44" i="68"/>
  <c r="G44" i="68" s="1"/>
  <c r="H44" i="68" s="1"/>
  <c r="AF42" i="11" s="1"/>
  <c r="F8" i="68"/>
  <c r="G8" i="68" s="1"/>
  <c r="H8" i="68" s="1"/>
  <c r="AF6" i="11" s="1"/>
  <c r="AF108" i="11" s="1"/>
  <c r="T11" i="68"/>
  <c r="AO78" i="7" s="1"/>
  <c r="AO3" i="7" s="1"/>
  <c r="Y11" i="68"/>
  <c r="AT78" i="7" s="1"/>
  <c r="F39" i="68"/>
  <c r="G39" i="68" s="1"/>
  <c r="H39" i="68" s="1"/>
  <c r="AF37" i="11" s="1"/>
  <c r="X11" i="68"/>
  <c r="AS78" i="7" s="1"/>
  <c r="F48" i="68"/>
  <c r="G48" i="68" s="1"/>
  <c r="H48" i="68" s="1"/>
  <c r="AF46" i="11" s="1"/>
  <c r="F9" i="68"/>
  <c r="G9" i="68" s="1"/>
  <c r="H9" i="68" s="1"/>
  <c r="AF7" i="11" s="1"/>
  <c r="F54" i="68"/>
  <c r="G54" i="68" s="1"/>
  <c r="H54" i="68" s="1"/>
  <c r="AF52" i="11" s="1"/>
  <c r="F29" i="68"/>
  <c r="G29" i="68" s="1"/>
  <c r="H29" i="68" s="1"/>
  <c r="AF27" i="11" s="1"/>
  <c r="F15" i="68"/>
  <c r="G15" i="68" s="1"/>
  <c r="H15" i="68" s="1"/>
  <c r="AF13" i="11" s="1"/>
  <c r="O11" i="68"/>
  <c r="AJ78" i="7" s="1"/>
  <c r="F32" i="68"/>
  <c r="G32" i="68" s="1"/>
  <c r="H32" i="68" s="1"/>
  <c r="AF30" i="11" s="1"/>
  <c r="F28" i="68"/>
  <c r="G28" i="68" s="1"/>
  <c r="H28" i="68" s="1"/>
  <c r="AF26" i="11" s="1"/>
  <c r="F7" i="68"/>
  <c r="G7" i="68" s="1"/>
  <c r="H7" i="68" s="1"/>
  <c r="AF5" i="11" s="1"/>
  <c r="F27" i="68"/>
  <c r="G27" i="68" s="1"/>
  <c r="H27" i="68" s="1"/>
  <c r="AF25" i="11" s="1"/>
  <c r="F34" i="68"/>
  <c r="G34" i="68" s="1"/>
  <c r="H34" i="68" s="1"/>
  <c r="AF32" i="11" s="1"/>
  <c r="F52" i="68"/>
  <c r="G52" i="68" s="1"/>
  <c r="H52" i="68" s="1"/>
  <c r="AF50" i="11" s="1"/>
  <c r="F24" i="68"/>
  <c r="G24" i="68" s="1"/>
  <c r="H24" i="68" s="1"/>
  <c r="AF22" i="11" s="1"/>
  <c r="F13" i="68"/>
  <c r="G13" i="68" s="1"/>
  <c r="H13" i="68" s="1"/>
  <c r="AF11" i="11" s="1"/>
  <c r="F14" i="68"/>
  <c r="G14" i="68" s="1"/>
  <c r="H14" i="68" s="1"/>
  <c r="AF12" i="11" s="1"/>
  <c r="F55" i="68"/>
  <c r="G55" i="68" s="1"/>
  <c r="H55" i="68" s="1"/>
  <c r="AF53" i="11" s="1"/>
  <c r="N11" i="68"/>
  <c r="AI78" i="7" s="1"/>
  <c r="F35" i="68"/>
  <c r="G35" i="68" s="1"/>
  <c r="H35" i="68" s="1"/>
  <c r="AF33" i="11" s="1"/>
  <c r="F30" i="68"/>
  <c r="G30" i="68" s="1"/>
  <c r="H30" i="68" s="1"/>
  <c r="AF28" i="11" s="1"/>
  <c r="F21" i="68"/>
  <c r="G21" i="68" s="1"/>
  <c r="H21" i="68" s="1"/>
  <c r="AF19" i="11" s="1"/>
  <c r="W11" i="68"/>
  <c r="AR78" i="7" s="1"/>
  <c r="AZ78" i="7" s="1"/>
  <c r="BA78" i="7" s="1"/>
  <c r="K11" i="68"/>
  <c r="AF78" i="7" s="1"/>
  <c r="AF3" i="7" s="1"/>
  <c r="F25" i="68"/>
  <c r="G25" i="68" s="1"/>
  <c r="H25" i="68" s="1"/>
  <c r="AF23" i="11" s="1"/>
  <c r="M11" i="68"/>
  <c r="F33" i="68"/>
  <c r="G33" i="68" s="1"/>
  <c r="H33" i="68" s="1"/>
  <c r="AF31" i="11" s="1"/>
  <c r="F20" i="68"/>
  <c r="G20" i="68" s="1"/>
  <c r="H20" i="68" s="1"/>
  <c r="AF18" i="11" s="1"/>
  <c r="V11" i="68"/>
  <c r="AQ78" i="7" s="1"/>
  <c r="F41" i="68"/>
  <c r="G41" i="68" s="1"/>
  <c r="H41" i="68" s="1"/>
  <c r="AF39" i="11" s="1"/>
  <c r="F53" i="68"/>
  <c r="G53" i="68" s="1"/>
  <c r="H53" i="68" s="1"/>
  <c r="AF51" i="11" s="1"/>
  <c r="F42" i="68"/>
  <c r="G42" i="68" s="1"/>
  <c r="H42" i="68" s="1"/>
  <c r="AF40" i="11" s="1"/>
  <c r="F51" i="68"/>
  <c r="G51" i="68" s="1"/>
  <c r="H51" i="68" s="1"/>
  <c r="AF49" i="11" s="1"/>
  <c r="F12" i="68"/>
  <c r="G12" i="68" s="1"/>
  <c r="H12" i="68" s="1"/>
  <c r="AF10" i="11" s="1"/>
  <c r="L11" i="68"/>
  <c r="AG78" i="7" s="1"/>
  <c r="AG3" i="7" s="1"/>
  <c r="F49" i="68"/>
  <c r="G49" i="68" s="1"/>
  <c r="H49" i="68" s="1"/>
  <c r="AF47" i="11" s="1"/>
  <c r="F37" i="68"/>
  <c r="G37" i="68" s="1"/>
  <c r="H37" i="68" s="1"/>
  <c r="AF35" i="11" s="1"/>
  <c r="F46" i="68"/>
  <c r="G46" i="68" s="1"/>
  <c r="H46" i="68" s="1"/>
  <c r="AF44" i="11" s="1"/>
  <c r="F16" i="68"/>
  <c r="G16" i="68" s="1"/>
  <c r="H16" i="68" s="1"/>
  <c r="AF14" i="11" s="1"/>
  <c r="F57" i="68"/>
  <c r="G57" i="68" s="1"/>
  <c r="H57" i="68" s="1"/>
  <c r="AF55" i="11" s="1"/>
  <c r="F17" i="68"/>
  <c r="G17" i="68" s="1"/>
  <c r="H17" i="68" s="1"/>
  <c r="AF15" i="11" s="1"/>
  <c r="F18" i="68"/>
  <c r="G18" i="68" s="1"/>
  <c r="H18" i="68" s="1"/>
  <c r="AF16" i="11" s="1"/>
  <c r="F31" i="68"/>
  <c r="G31" i="68" s="1"/>
  <c r="H31" i="68" s="1"/>
  <c r="AF29" i="11" s="1"/>
  <c r="F40" i="68"/>
  <c r="G40" i="68" s="1"/>
  <c r="H40" i="68" s="1"/>
  <c r="AF38" i="11" s="1"/>
  <c r="AN6" i="7"/>
  <c r="J12" i="38"/>
  <c r="AP26" i="7" s="1"/>
  <c r="S5" i="11" s="1"/>
  <c r="Y4" i="11"/>
  <c r="J12" i="40"/>
  <c r="AP38" i="7" s="1"/>
  <c r="AB5" i="11" s="1"/>
  <c r="J11" i="39"/>
  <c r="J12" i="39" s="1"/>
  <c r="AP37" i="7" s="1"/>
  <c r="J12" i="28"/>
  <c r="AR18" i="7"/>
  <c r="AZ18" i="7" s="1"/>
  <c r="AR10" i="7"/>
  <c r="H4" i="46" s="1"/>
  <c r="F6" i="11" s="1"/>
  <c r="AR23" i="7"/>
  <c r="H4" i="57" s="1"/>
  <c r="P6" i="11" s="1"/>
  <c r="P108" i="11" s="1"/>
  <c r="AR36" i="7"/>
  <c r="H4" i="64" s="1"/>
  <c r="AR42" i="7"/>
  <c r="AZ42" i="7" s="1"/>
  <c r="BA42" i="7" s="1"/>
  <c r="C1" i="36" s="1"/>
  <c r="F1" i="36" s="1"/>
  <c r="AR34" i="7"/>
  <c r="AZ34" i="7" s="1"/>
  <c r="BA34" i="7" s="1"/>
  <c r="C1" i="62" s="1"/>
  <c r="F1" i="62" s="1"/>
  <c r="BB34" i="7" s="1"/>
  <c r="AR9" i="7"/>
  <c r="H4" i="45" s="1"/>
  <c r="E6" i="11" s="1"/>
  <c r="AR32" i="7"/>
  <c r="AZ32" i="7" s="1"/>
  <c r="BA32" i="7" s="1"/>
  <c r="C1" i="60" s="1"/>
  <c r="F1" i="60" s="1"/>
  <c r="BB32" i="7" s="1"/>
  <c r="Z3" i="7"/>
  <c r="B6" i="32" s="1"/>
  <c r="AR66" i="7"/>
  <c r="AR30" i="7"/>
  <c r="AZ30" i="7" s="1"/>
  <c r="AR20" i="7"/>
  <c r="AZ20" i="7" s="1"/>
  <c r="BA20" i="7" s="1"/>
  <c r="C1" i="52" s="1"/>
  <c r="F1" i="52" s="1"/>
  <c r="BB20" i="7" s="1"/>
  <c r="AR22" i="7"/>
  <c r="H4" i="54" s="1"/>
  <c r="O6" i="11" s="1"/>
  <c r="O108" i="11" s="1"/>
  <c r="B4" i="32"/>
  <c r="AR12" i="7"/>
  <c r="AZ12" i="7" s="1"/>
  <c r="BA12" i="7" s="1"/>
  <c r="C1" i="48" s="1"/>
  <c r="F1" i="48" s="1"/>
  <c r="BB12" i="7" s="1"/>
  <c r="W5" i="11"/>
  <c r="AB3" i="7"/>
  <c r="AC3" i="7" s="1"/>
  <c r="B10" i="32" s="1"/>
  <c r="C4" i="11"/>
  <c r="AZ33" i="7"/>
  <c r="BA33" i="7" s="1"/>
  <c r="C1" i="61" s="1"/>
  <c r="F1" i="61" s="1"/>
  <c r="BB33" i="7" s="1"/>
  <c r="AZ35" i="7"/>
  <c r="BA35" i="7" s="1"/>
  <c r="C1" i="63" s="1"/>
  <c r="F1" i="63" s="1"/>
  <c r="BB35" i="7" s="1"/>
  <c r="AR31" i="7"/>
  <c r="H4" i="59" s="1"/>
  <c r="U6" i="11" s="1"/>
  <c r="U108" i="11" s="1"/>
  <c r="U5" i="11"/>
  <c r="AR19" i="7"/>
  <c r="H4" i="51" s="1"/>
  <c r="L5" i="11"/>
  <c r="AR21" i="7"/>
  <c r="H4" i="53" s="1"/>
  <c r="N6" i="11" s="1"/>
  <c r="N108" i="11" s="1"/>
  <c r="N5" i="11"/>
  <c r="H4" i="47"/>
  <c r="J17" i="38"/>
  <c r="H1" i="38" s="1"/>
  <c r="J17" i="40"/>
  <c r="H1" i="40" s="1"/>
  <c r="J15" i="37"/>
  <c r="J15" i="27"/>
  <c r="J15" i="28"/>
  <c r="J15" i="38"/>
  <c r="J15" i="39"/>
  <c r="J15" i="40"/>
  <c r="J2" i="47"/>
  <c r="J2" i="53"/>
  <c r="J2" i="59"/>
  <c r="H1" i="45"/>
  <c r="J2" i="45"/>
  <c r="J2" i="62"/>
  <c r="H1" i="63"/>
  <c r="J2" i="63"/>
  <c r="J2" i="57"/>
  <c r="J2" i="52"/>
  <c r="J2" i="46"/>
  <c r="J2" i="58"/>
  <c r="H1" i="58"/>
  <c r="J2" i="60"/>
  <c r="J2" i="64"/>
  <c r="J2" i="44"/>
  <c r="J2" i="54"/>
  <c r="J2" i="48"/>
  <c r="J2" i="43"/>
  <c r="J2" i="51"/>
  <c r="J2" i="61"/>
  <c r="H1" i="61"/>
  <c r="E114" i="26"/>
  <c r="AZ11" i="7"/>
  <c r="BA11" i="7" s="1"/>
  <c r="C1" i="47" s="1"/>
  <c r="F1" i="47" s="1"/>
  <c r="BB11" i="7" s="1"/>
  <c r="AZ24" i="7"/>
  <c r="BA24" i="7" s="1"/>
  <c r="C1" i="58" s="1"/>
  <c r="F1" i="58" s="1"/>
  <c r="BB24" i="7" s="1"/>
  <c r="AR6" i="7"/>
  <c r="H4" i="10" s="1"/>
  <c r="H1" i="46" l="1"/>
  <c r="H1" i="15"/>
  <c r="AZ54" i="7"/>
  <c r="BA54" i="7" s="1"/>
  <c r="C1" i="15" s="1"/>
  <c r="F1" i="15" s="1"/>
  <c r="BB54" i="7" s="1"/>
  <c r="AN3" i="7"/>
  <c r="B23" i="32" s="1"/>
  <c r="AF107" i="11"/>
  <c r="AF109" i="11" s="1"/>
  <c r="B15" i="32"/>
  <c r="AH4" i="11"/>
  <c r="B16" i="32"/>
  <c r="B24" i="32"/>
  <c r="AZ66" i="7"/>
  <c r="BA66" i="7" s="1"/>
  <c r="H1" i="57"/>
  <c r="J17" i="39"/>
  <c r="H1" i="39" s="1"/>
  <c r="J18" i="28"/>
  <c r="H4" i="13"/>
  <c r="K6" i="11" s="1"/>
  <c r="K108" i="11" s="1"/>
  <c r="BA18" i="7"/>
  <c r="C1" i="13" s="1"/>
  <c r="F1" i="13" s="1"/>
  <c r="BB18" i="7" s="1"/>
  <c r="AZ23" i="7"/>
  <c r="BA23" i="7" s="1"/>
  <c r="C1" i="57" s="1"/>
  <c r="F1" i="57" s="1"/>
  <c r="BB23" i="7" s="1"/>
  <c r="AZ10" i="7"/>
  <c r="BA10" i="7" s="1"/>
  <c r="C1" i="46" s="1"/>
  <c r="F1" i="46" s="1"/>
  <c r="BB10" i="7" s="1"/>
  <c r="AZ36" i="7"/>
  <c r="BA36" i="7" s="1"/>
  <c r="C1" i="64" s="1"/>
  <c r="F1" i="64" s="1"/>
  <c r="BB36" i="7" s="1"/>
  <c r="H4" i="36"/>
  <c r="AC6" i="11" s="1"/>
  <c r="AC108" i="11" s="1"/>
  <c r="H4" i="60"/>
  <c r="V6" i="11" s="1"/>
  <c r="V108" i="11" s="1"/>
  <c r="AZ9" i="7"/>
  <c r="BA9" i="7" s="1"/>
  <c r="C1" i="45" s="1"/>
  <c r="F1" i="45" s="1"/>
  <c r="BB9" i="7" s="1"/>
  <c r="H4" i="62"/>
  <c r="X6" i="11" s="1"/>
  <c r="X108" i="11" s="1"/>
  <c r="H1" i="26"/>
  <c r="H4" i="26" s="1"/>
  <c r="H4" i="14"/>
  <c r="T6" i="11" s="1"/>
  <c r="T108" i="11" s="1"/>
  <c r="H4" i="52"/>
  <c r="M6" i="11" s="1"/>
  <c r="M108" i="11" s="1"/>
  <c r="BA30" i="7"/>
  <c r="C1" i="14" s="1"/>
  <c r="F1" i="14" s="1"/>
  <c r="BB30" i="7" s="1"/>
  <c r="AZ22" i="7"/>
  <c r="BA22" i="7" s="1"/>
  <c r="C1" i="54" s="1"/>
  <c r="F1" i="54" s="1"/>
  <c r="BB22" i="7" s="1"/>
  <c r="B9" i="32"/>
  <c r="H4" i="48"/>
  <c r="H6" i="11" s="1"/>
  <c r="H108" i="11" s="1"/>
  <c r="BB42" i="7"/>
  <c r="C4" i="36"/>
  <c r="D2" i="36" s="1"/>
  <c r="C12" i="36"/>
  <c r="C20" i="36"/>
  <c r="C28" i="36"/>
  <c r="C36" i="36"/>
  <c r="C44" i="36"/>
  <c r="C52" i="36"/>
  <c r="C14" i="36"/>
  <c r="C30" i="36"/>
  <c r="C46" i="36"/>
  <c r="C7" i="36"/>
  <c r="C23" i="36"/>
  <c r="C39" i="36"/>
  <c r="C5" i="36"/>
  <c r="C13" i="36"/>
  <c r="C21" i="36"/>
  <c r="C29" i="36"/>
  <c r="C37" i="36"/>
  <c r="C45" i="36"/>
  <c r="C53" i="36"/>
  <c r="C6" i="36"/>
  <c r="C22" i="36"/>
  <c r="C38" i="36"/>
  <c r="C15" i="36"/>
  <c r="C31" i="36"/>
  <c r="C47" i="36"/>
  <c r="C8" i="36"/>
  <c r="C16" i="36"/>
  <c r="C24" i="36"/>
  <c r="C32" i="36"/>
  <c r="C40" i="36"/>
  <c r="C48" i="36"/>
  <c r="C18" i="36"/>
  <c r="C26" i="36"/>
  <c r="C42" i="36"/>
  <c r="C11" i="36"/>
  <c r="C27" i="36"/>
  <c r="C43" i="36"/>
  <c r="C9" i="36"/>
  <c r="C17" i="36"/>
  <c r="C25" i="36"/>
  <c r="C33" i="36"/>
  <c r="C41" i="36"/>
  <c r="C49" i="36"/>
  <c r="C10" i="36"/>
  <c r="C34" i="36"/>
  <c r="C50" i="36"/>
  <c r="C19" i="36"/>
  <c r="C35" i="36"/>
  <c r="C51" i="36"/>
  <c r="C4" i="58"/>
  <c r="C10" i="58"/>
  <c r="C26" i="58"/>
  <c r="C42" i="58"/>
  <c r="C11" i="58"/>
  <c r="C27" i="58"/>
  <c r="C43" i="58"/>
  <c r="C14" i="58"/>
  <c r="C30" i="58"/>
  <c r="C46" i="58"/>
  <c r="C6" i="58"/>
  <c r="C34" i="58"/>
  <c r="C3" i="58"/>
  <c r="E2" i="58" s="1"/>
  <c r="C7" i="58"/>
  <c r="C35" i="58"/>
  <c r="C15" i="58"/>
  <c r="C38" i="58"/>
  <c r="C39" i="58"/>
  <c r="C47" i="58"/>
  <c r="C19" i="58"/>
  <c r="C23" i="58"/>
  <c r="C31" i="58"/>
  <c r="C22" i="58"/>
  <c r="C50" i="58"/>
  <c r="C18" i="58"/>
  <c r="C51" i="58"/>
  <c r="C49" i="58"/>
  <c r="C32" i="58"/>
  <c r="C21" i="58"/>
  <c r="C12" i="58"/>
  <c r="C41" i="58"/>
  <c r="C24" i="58"/>
  <c r="C13" i="58"/>
  <c r="C17" i="58"/>
  <c r="C53" i="58"/>
  <c r="C44" i="58"/>
  <c r="C9" i="58"/>
  <c r="C45" i="58"/>
  <c r="C36" i="58"/>
  <c r="C48" i="58"/>
  <c r="C37" i="58"/>
  <c r="C28" i="58"/>
  <c r="C40" i="58"/>
  <c r="C29" i="58"/>
  <c r="C20" i="58"/>
  <c r="C25" i="58"/>
  <c r="C16" i="58"/>
  <c r="C8" i="58"/>
  <c r="C5" i="58"/>
  <c r="C52" i="58"/>
  <c r="C33" i="58"/>
  <c r="C3" i="63"/>
  <c r="E2" i="63" s="1"/>
  <c r="C8" i="63"/>
  <c r="C16" i="63"/>
  <c r="C24" i="63"/>
  <c r="C32" i="63"/>
  <c r="C40" i="63"/>
  <c r="C48" i="63"/>
  <c r="C9" i="63"/>
  <c r="C17" i="63"/>
  <c r="C25" i="63"/>
  <c r="C33" i="63"/>
  <c r="C41" i="63"/>
  <c r="C49" i="63"/>
  <c r="C10" i="63"/>
  <c r="C18" i="63"/>
  <c r="C26" i="63"/>
  <c r="C34" i="63"/>
  <c r="C42" i="63"/>
  <c r="C50" i="63"/>
  <c r="C14" i="63"/>
  <c r="C28" i="63"/>
  <c r="C39" i="63"/>
  <c r="C53" i="63"/>
  <c r="C4" i="63"/>
  <c r="C15" i="63"/>
  <c r="C29" i="63"/>
  <c r="C43" i="63"/>
  <c r="C5" i="63"/>
  <c r="C19" i="63"/>
  <c r="C30" i="63"/>
  <c r="C44" i="63"/>
  <c r="C6" i="63"/>
  <c r="C20" i="63"/>
  <c r="C31" i="63"/>
  <c r="C45" i="63"/>
  <c r="C22" i="63"/>
  <c r="C47" i="63"/>
  <c r="C11" i="63"/>
  <c r="C36" i="63"/>
  <c r="C37" i="63"/>
  <c r="C13" i="63"/>
  <c r="C38" i="63"/>
  <c r="C46" i="63"/>
  <c r="C23" i="63"/>
  <c r="C51" i="63"/>
  <c r="C12" i="63"/>
  <c r="C27" i="63"/>
  <c r="C52" i="63"/>
  <c r="C7" i="63"/>
  <c r="C35" i="63"/>
  <c r="C21" i="63"/>
  <c r="C3" i="36"/>
  <c r="E2" i="36" s="1"/>
  <c r="C4" i="61"/>
  <c r="C9" i="61"/>
  <c r="C27" i="61"/>
  <c r="C50" i="61"/>
  <c r="C10" i="61"/>
  <c r="C33" i="61"/>
  <c r="C51" i="61"/>
  <c r="C11" i="61"/>
  <c r="C34" i="61"/>
  <c r="C17" i="61"/>
  <c r="C43" i="61"/>
  <c r="C18" i="61"/>
  <c r="C49" i="61"/>
  <c r="C19" i="61"/>
  <c r="C25" i="61"/>
  <c r="C41" i="61"/>
  <c r="C42" i="61"/>
  <c r="C26" i="61"/>
  <c r="C35" i="61"/>
  <c r="C47" i="61"/>
  <c r="C6" i="61"/>
  <c r="C5" i="61"/>
  <c r="C20" i="61"/>
  <c r="C39" i="61"/>
  <c r="C3" i="61"/>
  <c r="E2" i="61" s="1"/>
  <c r="C38" i="61"/>
  <c r="C12" i="61"/>
  <c r="C31" i="61"/>
  <c r="C32" i="61"/>
  <c r="C15" i="61"/>
  <c r="C37" i="61"/>
  <c r="C52" i="61"/>
  <c r="C24" i="61"/>
  <c r="C7" i="61"/>
  <c r="C29" i="61"/>
  <c r="C44" i="61"/>
  <c r="C16" i="61"/>
  <c r="C46" i="61"/>
  <c r="C21" i="61"/>
  <c r="C36" i="61"/>
  <c r="C8" i="61"/>
  <c r="C30" i="61"/>
  <c r="C13" i="61"/>
  <c r="C28" i="61"/>
  <c r="C48" i="61"/>
  <c r="C53" i="61"/>
  <c r="C22" i="61"/>
  <c r="C40" i="61"/>
  <c r="C23" i="61"/>
  <c r="C45" i="61"/>
  <c r="C14" i="61"/>
  <c r="C9" i="52"/>
  <c r="C24" i="52"/>
  <c r="C31" i="52"/>
  <c r="C32" i="52"/>
  <c r="C16" i="52"/>
  <c r="C23" i="52"/>
  <c r="C39" i="52"/>
  <c r="C40" i="52"/>
  <c r="C47" i="52"/>
  <c r="C7" i="52"/>
  <c r="C8" i="52"/>
  <c r="C48" i="52"/>
  <c r="C15" i="52"/>
  <c r="C53" i="52"/>
  <c r="C44" i="52"/>
  <c r="C35" i="52"/>
  <c r="C18" i="52"/>
  <c r="C46" i="52"/>
  <c r="C45" i="52"/>
  <c r="C36" i="52"/>
  <c r="C27" i="52"/>
  <c r="C10" i="52"/>
  <c r="C22" i="52"/>
  <c r="C21" i="52"/>
  <c r="C12" i="52"/>
  <c r="C50" i="52"/>
  <c r="C33" i="52"/>
  <c r="C14" i="52"/>
  <c r="C13" i="52"/>
  <c r="C4" i="52"/>
  <c r="C42" i="52"/>
  <c r="C25" i="52"/>
  <c r="C6" i="52"/>
  <c r="C5" i="52"/>
  <c r="C51" i="52"/>
  <c r="C34" i="52"/>
  <c r="C17" i="52"/>
  <c r="C3" i="52"/>
  <c r="E2" i="52" s="1"/>
  <c r="C52" i="52"/>
  <c r="C43" i="52"/>
  <c r="C26" i="52"/>
  <c r="C20" i="52"/>
  <c r="C19" i="52"/>
  <c r="C11" i="52"/>
  <c r="C38" i="52"/>
  <c r="C49" i="52"/>
  <c r="C30" i="52"/>
  <c r="C41" i="52"/>
  <c r="C37" i="52"/>
  <c r="C29" i="52"/>
  <c r="C28" i="52"/>
  <c r="C10" i="62"/>
  <c r="C18" i="62"/>
  <c r="C26" i="62"/>
  <c r="C34" i="62"/>
  <c r="C42" i="62"/>
  <c r="C50" i="62"/>
  <c r="C11" i="62"/>
  <c r="C19" i="62"/>
  <c r="C27" i="62"/>
  <c r="C35" i="62"/>
  <c r="C43" i="62"/>
  <c r="C51" i="62"/>
  <c r="C4" i="62"/>
  <c r="C12" i="62"/>
  <c r="C20" i="62"/>
  <c r="C28" i="62"/>
  <c r="C36" i="62"/>
  <c r="C44" i="62"/>
  <c r="C52" i="62"/>
  <c r="C8" i="62"/>
  <c r="C22" i="62"/>
  <c r="C33" i="62"/>
  <c r="C47" i="62"/>
  <c r="C9" i="62"/>
  <c r="C23" i="62"/>
  <c r="C37" i="62"/>
  <c r="C48" i="62"/>
  <c r="C13" i="62"/>
  <c r="C24" i="62"/>
  <c r="C38" i="62"/>
  <c r="C49" i="62"/>
  <c r="C14" i="62"/>
  <c r="C25" i="62"/>
  <c r="C39" i="62"/>
  <c r="C53" i="62"/>
  <c r="C6" i="62"/>
  <c r="C31" i="62"/>
  <c r="C17" i="62"/>
  <c r="C46" i="62"/>
  <c r="C29" i="62"/>
  <c r="C30" i="62"/>
  <c r="C7" i="62"/>
  <c r="C32" i="62"/>
  <c r="C45" i="62"/>
  <c r="C21" i="62"/>
  <c r="C15" i="62"/>
  <c r="C40" i="62"/>
  <c r="C16" i="62"/>
  <c r="C41" i="62"/>
  <c r="C5" i="62"/>
  <c r="C3" i="62"/>
  <c r="E2" i="62" s="1"/>
  <c r="C4" i="60"/>
  <c r="C10" i="60"/>
  <c r="C26" i="60"/>
  <c r="C42" i="60"/>
  <c r="C11" i="60"/>
  <c r="C27" i="60"/>
  <c r="C43" i="60"/>
  <c r="C15" i="60"/>
  <c r="C31" i="60"/>
  <c r="C47" i="60"/>
  <c r="C16" i="60"/>
  <c r="C39" i="60"/>
  <c r="C18" i="60"/>
  <c r="C40" i="60"/>
  <c r="C19" i="60"/>
  <c r="C48" i="60"/>
  <c r="C23" i="60"/>
  <c r="C50" i="60"/>
  <c r="C51" i="60"/>
  <c r="C24" i="60"/>
  <c r="C32" i="60"/>
  <c r="C3" i="60"/>
  <c r="E2" i="60" s="1"/>
  <c r="C34" i="60"/>
  <c r="C7" i="60"/>
  <c r="C8" i="60"/>
  <c r="C35" i="60"/>
  <c r="C46" i="60"/>
  <c r="C37" i="60"/>
  <c r="C28" i="60"/>
  <c r="C38" i="60"/>
  <c r="C29" i="60"/>
  <c r="C20" i="60"/>
  <c r="C30" i="60"/>
  <c r="C33" i="60"/>
  <c r="C14" i="60"/>
  <c r="C5" i="60"/>
  <c r="C25" i="60"/>
  <c r="C6" i="60"/>
  <c r="C52" i="60"/>
  <c r="C17" i="60"/>
  <c r="C53" i="60"/>
  <c r="C44" i="60"/>
  <c r="C9" i="60"/>
  <c r="C45" i="60"/>
  <c r="C36" i="60"/>
  <c r="C49" i="60"/>
  <c r="C21" i="60"/>
  <c r="C41" i="60"/>
  <c r="C22" i="60"/>
  <c r="C13" i="60"/>
  <c r="C12" i="60"/>
  <c r="C3" i="47"/>
  <c r="E2" i="47" s="1"/>
  <c r="C7" i="47"/>
  <c r="C15" i="47"/>
  <c r="C23" i="47"/>
  <c r="C31" i="47"/>
  <c r="C39" i="47"/>
  <c r="C47" i="47"/>
  <c r="C8" i="47"/>
  <c r="C16" i="47"/>
  <c r="C24" i="47"/>
  <c r="C32" i="47"/>
  <c r="C40" i="47"/>
  <c r="C48" i="47"/>
  <c r="C9" i="47"/>
  <c r="C17" i="47"/>
  <c r="C25" i="47"/>
  <c r="C33" i="47"/>
  <c r="C41" i="47"/>
  <c r="C49" i="47"/>
  <c r="C10" i="47"/>
  <c r="C18" i="47"/>
  <c r="C26" i="47"/>
  <c r="C34" i="47"/>
  <c r="C42" i="47"/>
  <c r="C50" i="47"/>
  <c r="C19" i="47"/>
  <c r="C35" i="47"/>
  <c r="C51" i="47"/>
  <c r="C4" i="47"/>
  <c r="C20" i="47"/>
  <c r="C36" i="47"/>
  <c r="C52" i="47"/>
  <c r="C30" i="47"/>
  <c r="C5" i="47"/>
  <c r="C21" i="47"/>
  <c r="C37" i="47"/>
  <c r="C53" i="47"/>
  <c r="C6" i="47"/>
  <c r="C22" i="47"/>
  <c r="C38" i="47"/>
  <c r="C11" i="47"/>
  <c r="C27" i="47"/>
  <c r="C43" i="47"/>
  <c r="C12" i="47"/>
  <c r="C28" i="47"/>
  <c r="C44" i="47"/>
  <c r="C13" i="47"/>
  <c r="C29" i="47"/>
  <c r="C45" i="47"/>
  <c r="C14" i="47"/>
  <c r="C46" i="47"/>
  <c r="C3" i="48"/>
  <c r="E2" i="48" s="1"/>
  <c r="C5" i="48"/>
  <c r="C13" i="48"/>
  <c r="C21" i="48"/>
  <c r="C29" i="48"/>
  <c r="C37" i="48"/>
  <c r="C45" i="48"/>
  <c r="C53" i="48"/>
  <c r="C6" i="48"/>
  <c r="C14" i="48"/>
  <c r="C22" i="48"/>
  <c r="C30" i="48"/>
  <c r="C38" i="48"/>
  <c r="C46" i="48"/>
  <c r="C7" i="48"/>
  <c r="C15" i="48"/>
  <c r="C23" i="48"/>
  <c r="C31" i="48"/>
  <c r="C39" i="48"/>
  <c r="C47" i="48"/>
  <c r="C12" i="48"/>
  <c r="C26" i="48"/>
  <c r="C40" i="48"/>
  <c r="C51" i="48"/>
  <c r="C50" i="48"/>
  <c r="C16" i="48"/>
  <c r="C27" i="48"/>
  <c r="C41" i="48"/>
  <c r="C52" i="48"/>
  <c r="C11" i="48"/>
  <c r="C36" i="48"/>
  <c r="C17" i="48"/>
  <c r="C28" i="48"/>
  <c r="C42" i="48"/>
  <c r="C4" i="48"/>
  <c r="C18" i="48"/>
  <c r="C32" i="48"/>
  <c r="C43" i="48"/>
  <c r="C8" i="48"/>
  <c r="C19" i="48"/>
  <c r="C33" i="48"/>
  <c r="C44" i="48"/>
  <c r="C9" i="48"/>
  <c r="C20" i="48"/>
  <c r="C34" i="48"/>
  <c r="C48" i="48"/>
  <c r="C10" i="48"/>
  <c r="C24" i="48"/>
  <c r="C35" i="48"/>
  <c r="C49" i="48"/>
  <c r="C25" i="48"/>
  <c r="AZ19" i="7"/>
  <c r="BA19" i="7" s="1"/>
  <c r="C1" i="51" s="1"/>
  <c r="F1" i="51" s="1"/>
  <c r="H1" i="54"/>
  <c r="AZ31" i="7"/>
  <c r="BA31" i="7" s="1"/>
  <c r="C1" i="59" s="1"/>
  <c r="F1" i="59" s="1"/>
  <c r="BB31" i="7" s="1"/>
  <c r="H1" i="53"/>
  <c r="AZ21" i="7"/>
  <c r="BA21" i="7" s="1"/>
  <c r="C1" i="53" s="1"/>
  <c r="F1" i="53" s="1"/>
  <c r="BB21" i="7" s="1"/>
  <c r="H1" i="51"/>
  <c r="L6" i="11"/>
  <c r="L108" i="11" s="1"/>
  <c r="H1" i="47"/>
  <c r="G6" i="11"/>
  <c r="G108" i="11" s="1"/>
  <c r="H1" i="48"/>
  <c r="AI37" i="7"/>
  <c r="AA5" i="11"/>
  <c r="H1" i="64"/>
  <c r="Z6" i="11"/>
  <c r="Z108" i="11" s="1"/>
  <c r="H1" i="59"/>
  <c r="H1" i="10"/>
  <c r="B6" i="11"/>
  <c r="AI26" i="7"/>
  <c r="AR26" i="7"/>
  <c r="AZ26" i="7" s="1"/>
  <c r="BA26" i="7" s="1"/>
  <c r="C1" i="38" s="1"/>
  <c r="F1" i="38" s="1"/>
  <c r="BB26" i="7" s="1"/>
  <c r="AI38" i="7"/>
  <c r="AR38" i="7"/>
  <c r="AZ38" i="7" s="1"/>
  <c r="BA38" i="7" s="1"/>
  <c r="C1" i="40" s="1"/>
  <c r="F1" i="40" s="1"/>
  <c r="BB38" i="7" s="1"/>
  <c r="AR37" i="7"/>
  <c r="AZ37" i="7" s="1"/>
  <c r="BA37" i="7" s="1"/>
  <c r="C1" i="39" s="1"/>
  <c r="F1" i="39" s="1"/>
  <c r="BB37" i="7" s="1"/>
  <c r="AP13" i="7"/>
  <c r="I5" i="11" s="1"/>
  <c r="J18" i="38"/>
  <c r="J18" i="40"/>
  <c r="J18" i="39"/>
  <c r="H4" i="39" s="1"/>
  <c r="AA6" i="11" s="1"/>
  <c r="AA108" i="11" s="1"/>
  <c r="E108" i="11"/>
  <c r="F108" i="11"/>
  <c r="AZ6" i="7"/>
  <c r="BA6" i="7" s="1"/>
  <c r="C1" i="10" s="1"/>
  <c r="F1" i="10" s="1"/>
  <c r="BB6" i="7" s="1"/>
  <c r="AE6" i="11" l="1"/>
  <c r="AE108" i="11" s="1"/>
  <c r="C6" i="68"/>
  <c r="H1" i="52"/>
  <c r="S14" i="4"/>
  <c r="H24" i="32"/>
  <c r="K45" i="32" s="1"/>
  <c r="K46" i="32" s="1"/>
  <c r="K47" i="32" s="1"/>
  <c r="K48" i="32" s="1"/>
  <c r="K49" i="32" s="1"/>
  <c r="T6" i="68"/>
  <c r="S6" i="68"/>
  <c r="L6" i="68"/>
  <c r="K6" i="68"/>
  <c r="AF110" i="11"/>
  <c r="B108" i="11"/>
  <c r="C1" i="26"/>
  <c r="F1" i="26" s="1"/>
  <c r="BB66" i="7" s="1"/>
  <c r="H1" i="36"/>
  <c r="H1" i="60"/>
  <c r="H1" i="62"/>
  <c r="H1" i="13"/>
  <c r="C40" i="13"/>
  <c r="C12" i="13"/>
  <c r="C49" i="13"/>
  <c r="C36" i="13"/>
  <c r="C10" i="13"/>
  <c r="C31" i="13"/>
  <c r="C14" i="13"/>
  <c r="C19" i="13"/>
  <c r="C17" i="13"/>
  <c r="C23" i="13"/>
  <c r="C8" i="13"/>
  <c r="C22" i="13"/>
  <c r="C41" i="13"/>
  <c r="C24" i="13"/>
  <c r="C45" i="57"/>
  <c r="C46" i="13"/>
  <c r="C11" i="13"/>
  <c r="C29" i="13"/>
  <c r="C33" i="13"/>
  <c r="C50" i="13"/>
  <c r="C28" i="13"/>
  <c r="C18" i="13"/>
  <c r="C34" i="13"/>
  <c r="C21" i="13"/>
  <c r="C48" i="13"/>
  <c r="C52" i="13"/>
  <c r="C20" i="13"/>
  <c r="C5" i="13"/>
  <c r="C4" i="13"/>
  <c r="D2" i="13" s="1"/>
  <c r="D20" i="13" s="1"/>
  <c r="C16" i="13"/>
  <c r="C51" i="13"/>
  <c r="C7" i="13"/>
  <c r="C3" i="46"/>
  <c r="E2" i="46" s="1"/>
  <c r="C18" i="57"/>
  <c r="C37" i="13"/>
  <c r="C45" i="13"/>
  <c r="C32" i="13"/>
  <c r="C44" i="13"/>
  <c r="C43" i="13"/>
  <c r="C15" i="13"/>
  <c r="C13" i="13"/>
  <c r="C27" i="13"/>
  <c r="C53" i="13"/>
  <c r="C39" i="13"/>
  <c r="C25" i="13"/>
  <c r="C42" i="13"/>
  <c r="C30" i="13"/>
  <c r="C3" i="13"/>
  <c r="E2" i="13" s="1"/>
  <c r="C26" i="13"/>
  <c r="C47" i="13"/>
  <c r="C38" i="13"/>
  <c r="C35" i="13"/>
  <c r="C9" i="13"/>
  <c r="C6" i="13"/>
  <c r="C47" i="46"/>
  <c r="C39" i="46"/>
  <c r="C38" i="46"/>
  <c r="C41" i="46"/>
  <c r="C20" i="57"/>
  <c r="C14" i="57"/>
  <c r="C24" i="57"/>
  <c r="C33" i="57"/>
  <c r="C41" i="57"/>
  <c r="C51" i="57"/>
  <c r="C7" i="57"/>
  <c r="C22" i="57"/>
  <c r="C47" i="57"/>
  <c r="C35" i="57"/>
  <c r="C19" i="57"/>
  <c r="C39" i="57"/>
  <c r="C31" i="57"/>
  <c r="C28" i="57"/>
  <c r="C44" i="57"/>
  <c r="C49" i="57"/>
  <c r="C25" i="57"/>
  <c r="C10" i="57"/>
  <c r="C26" i="57"/>
  <c r="C21" i="57"/>
  <c r="C8" i="57"/>
  <c r="C48" i="57"/>
  <c r="C4" i="57"/>
  <c r="D2" i="57" s="1"/>
  <c r="C38" i="57"/>
  <c r="C53" i="57"/>
  <c r="C36" i="57"/>
  <c r="C32" i="57"/>
  <c r="C13" i="57"/>
  <c r="C6" i="57"/>
  <c r="C37" i="57"/>
  <c r="C15" i="57"/>
  <c r="C9" i="57"/>
  <c r="C12" i="57"/>
  <c r="C43" i="57"/>
  <c r="C29" i="57"/>
  <c r="C46" i="57"/>
  <c r="C5" i="57"/>
  <c r="C17" i="57"/>
  <c r="C40" i="57"/>
  <c r="C52" i="57"/>
  <c r="C42" i="57"/>
  <c r="C23" i="57"/>
  <c r="C50" i="57"/>
  <c r="C27" i="57"/>
  <c r="C11" i="57"/>
  <c r="C16" i="57"/>
  <c r="C30" i="57"/>
  <c r="C3" i="57"/>
  <c r="E2" i="57" s="1"/>
  <c r="C34" i="57"/>
  <c r="C52" i="46"/>
  <c r="C30" i="46"/>
  <c r="C51" i="46"/>
  <c r="C50" i="46"/>
  <c r="C37" i="46"/>
  <c r="C12" i="46"/>
  <c r="C13" i="46"/>
  <c r="C18" i="46"/>
  <c r="C23" i="46"/>
  <c r="C35" i="46"/>
  <c r="C16" i="64"/>
  <c r="C16" i="46"/>
  <c r="C22" i="46"/>
  <c r="C34" i="46"/>
  <c r="C14" i="46"/>
  <c r="C44" i="46"/>
  <c r="C17" i="46"/>
  <c r="C7" i="64"/>
  <c r="C29" i="46"/>
  <c r="C53" i="46"/>
  <c r="C43" i="46"/>
  <c r="C33" i="46"/>
  <c r="C14" i="64"/>
  <c r="C40" i="46"/>
  <c r="C5" i="46"/>
  <c r="C11" i="46"/>
  <c r="C9" i="46"/>
  <c r="C31" i="46"/>
  <c r="C48" i="46"/>
  <c r="C20" i="46"/>
  <c r="C26" i="46"/>
  <c r="C43" i="64"/>
  <c r="C18" i="64"/>
  <c r="C37" i="64"/>
  <c r="C4" i="64"/>
  <c r="D2" i="64" s="1"/>
  <c r="C9" i="64"/>
  <c r="C25" i="64"/>
  <c r="C40" i="64"/>
  <c r="C8" i="64"/>
  <c r="C41" i="64"/>
  <c r="C49" i="64"/>
  <c r="C3" i="64"/>
  <c r="E2" i="64" s="1"/>
  <c r="C15" i="46"/>
  <c r="C24" i="46"/>
  <c r="C6" i="46"/>
  <c r="C36" i="46"/>
  <c r="C27" i="46"/>
  <c r="C10" i="46"/>
  <c r="C53" i="64"/>
  <c r="C13" i="64"/>
  <c r="C35" i="64"/>
  <c r="C23" i="64"/>
  <c r="C27" i="64"/>
  <c r="C52" i="64"/>
  <c r="C11" i="64"/>
  <c r="C6" i="64"/>
  <c r="C29" i="64"/>
  <c r="C31" i="64"/>
  <c r="C46" i="46"/>
  <c r="C8" i="46"/>
  <c r="C32" i="46"/>
  <c r="C28" i="46"/>
  <c r="C19" i="46"/>
  <c r="C49" i="46"/>
  <c r="C5" i="64"/>
  <c r="C28" i="64"/>
  <c r="C51" i="64"/>
  <c r="C48" i="64"/>
  <c r="C15" i="64"/>
  <c r="C19" i="64"/>
  <c r="C45" i="64"/>
  <c r="C50" i="64"/>
  <c r="C32" i="64"/>
  <c r="C46" i="64"/>
  <c r="C45" i="46"/>
  <c r="C7" i="46"/>
  <c r="C21" i="46"/>
  <c r="C4" i="46"/>
  <c r="D2" i="46" s="1"/>
  <c r="C42" i="46"/>
  <c r="C25" i="46"/>
  <c r="C42" i="64"/>
  <c r="C44" i="64"/>
  <c r="C36" i="64"/>
  <c r="C24" i="64"/>
  <c r="C38" i="64"/>
  <c r="C19" i="45"/>
  <c r="C34" i="64"/>
  <c r="C20" i="64"/>
  <c r="C26" i="64"/>
  <c r="C21" i="64"/>
  <c r="C47" i="64"/>
  <c r="C30" i="64"/>
  <c r="C17" i="64"/>
  <c r="C33" i="64"/>
  <c r="C12" i="64"/>
  <c r="C10" i="64"/>
  <c r="C39" i="64"/>
  <c r="C22" i="64"/>
  <c r="C34" i="45"/>
  <c r="C23" i="45"/>
  <c r="C48" i="45"/>
  <c r="C30" i="45"/>
  <c r="C29" i="45"/>
  <c r="C49" i="45"/>
  <c r="C53" i="45"/>
  <c r="C10" i="45"/>
  <c r="C44" i="45"/>
  <c r="C9" i="45"/>
  <c r="C12" i="45"/>
  <c r="C31" i="45"/>
  <c r="C13" i="45"/>
  <c r="C24" i="45"/>
  <c r="C43" i="45"/>
  <c r="C47" i="45"/>
  <c r="C38" i="45"/>
  <c r="C20" i="45"/>
  <c r="C15" i="45"/>
  <c r="C22" i="45"/>
  <c r="C4" i="45"/>
  <c r="D2" i="45" s="1"/>
  <c r="C18" i="45"/>
  <c r="C40" i="45"/>
  <c r="C21" i="45"/>
  <c r="C11" i="45"/>
  <c r="C33" i="45"/>
  <c r="C42" i="45"/>
  <c r="C8" i="45"/>
  <c r="C14" i="45"/>
  <c r="C5" i="45"/>
  <c r="C3" i="45"/>
  <c r="E2" i="45" s="1"/>
  <c r="C17" i="45"/>
  <c r="C26" i="45"/>
  <c r="C39" i="45"/>
  <c r="C6" i="45"/>
  <c r="C52" i="45"/>
  <c r="C51" i="45"/>
  <c r="C32" i="45"/>
  <c r="C41" i="45"/>
  <c r="C7" i="45"/>
  <c r="C45" i="45"/>
  <c r="C36" i="45"/>
  <c r="C35" i="45"/>
  <c r="C50" i="45"/>
  <c r="C16" i="45"/>
  <c r="C25" i="45"/>
  <c r="C46" i="45"/>
  <c r="C37" i="45"/>
  <c r="C28" i="45"/>
  <c r="C27" i="45"/>
  <c r="H1" i="14"/>
  <c r="C9" i="14"/>
  <c r="C51" i="14"/>
  <c r="C37" i="14"/>
  <c r="C20" i="14"/>
  <c r="C23" i="14"/>
  <c r="C6" i="14"/>
  <c r="C33" i="14"/>
  <c r="C12" i="14"/>
  <c r="C21" i="14"/>
  <c r="C25" i="14"/>
  <c r="C43" i="14"/>
  <c r="C17" i="14"/>
  <c r="C26" i="54"/>
  <c r="C14" i="14"/>
  <c r="C5" i="14"/>
  <c r="C26" i="14"/>
  <c r="C44" i="14"/>
  <c r="C29" i="14"/>
  <c r="C50" i="14"/>
  <c r="C16" i="14"/>
  <c r="C36" i="54"/>
  <c r="C4" i="14"/>
  <c r="D2" i="14" s="1"/>
  <c r="D45" i="14" s="1"/>
  <c r="C45" i="14"/>
  <c r="C42" i="14"/>
  <c r="C8" i="14"/>
  <c r="C49" i="54"/>
  <c r="C31" i="14"/>
  <c r="C28" i="14"/>
  <c r="C34" i="14"/>
  <c r="C3" i="14"/>
  <c r="E2" i="14" s="1"/>
  <c r="C39" i="14"/>
  <c r="C46" i="14"/>
  <c r="C13" i="14"/>
  <c r="C11" i="14"/>
  <c r="C41" i="14"/>
  <c r="C24" i="14"/>
  <c r="C17" i="54"/>
  <c r="C53" i="14"/>
  <c r="C19" i="14"/>
  <c r="C52" i="14"/>
  <c r="C47" i="14"/>
  <c r="C18" i="14"/>
  <c r="C48" i="14"/>
  <c r="C7" i="54"/>
  <c r="C48" i="54"/>
  <c r="C30" i="14"/>
  <c r="C35" i="14"/>
  <c r="C38" i="14"/>
  <c r="C36" i="14"/>
  <c r="C10" i="14"/>
  <c r="C40" i="14"/>
  <c r="C53" i="54"/>
  <c r="C7" i="14"/>
  <c r="C15" i="14"/>
  <c r="C27" i="14"/>
  <c r="C22" i="14"/>
  <c r="C49" i="14"/>
  <c r="C32" i="14"/>
  <c r="C10" i="54"/>
  <c r="C8" i="54"/>
  <c r="C30" i="54"/>
  <c r="C4" i="54"/>
  <c r="D2" i="54" s="1"/>
  <c r="C6" i="54"/>
  <c r="C40" i="54"/>
  <c r="C50" i="54"/>
  <c r="C15" i="54"/>
  <c r="C42" i="54"/>
  <c r="C34" i="54"/>
  <c r="C45" i="54"/>
  <c r="C16" i="54"/>
  <c r="C47" i="54"/>
  <c r="C21" i="54"/>
  <c r="C18" i="54"/>
  <c r="C12" i="54"/>
  <c r="C23" i="54"/>
  <c r="C3" i="54"/>
  <c r="E2" i="54" s="1"/>
  <c r="C43" i="54"/>
  <c r="C19" i="54"/>
  <c r="C25" i="54"/>
  <c r="C20" i="54"/>
  <c r="C46" i="54"/>
  <c r="C37" i="54"/>
  <c r="C51" i="54"/>
  <c r="C33" i="54"/>
  <c r="C11" i="54"/>
  <c r="C9" i="54"/>
  <c r="C38" i="54"/>
  <c r="C29" i="54"/>
  <c r="C28" i="54"/>
  <c r="C44" i="54"/>
  <c r="C52" i="54"/>
  <c r="C35" i="54"/>
  <c r="C39" i="54"/>
  <c r="C22" i="54"/>
  <c r="C13" i="54"/>
  <c r="C41" i="54"/>
  <c r="C27" i="54"/>
  <c r="C32" i="54"/>
  <c r="C24" i="54"/>
  <c r="C31" i="54"/>
  <c r="C14" i="54"/>
  <c r="C5" i="54"/>
  <c r="BB19" i="7"/>
  <c r="C5" i="51"/>
  <c r="C13" i="51"/>
  <c r="C21" i="51"/>
  <c r="C29" i="51"/>
  <c r="C37" i="51"/>
  <c r="C45" i="51"/>
  <c r="C53" i="51"/>
  <c r="C17" i="51"/>
  <c r="C41" i="51"/>
  <c r="C18" i="51"/>
  <c r="C50" i="51"/>
  <c r="C27" i="51"/>
  <c r="C51" i="51"/>
  <c r="C20" i="51"/>
  <c r="C44" i="51"/>
  <c r="C6" i="51"/>
  <c r="C14" i="51"/>
  <c r="C22" i="51"/>
  <c r="C30" i="51"/>
  <c r="C38" i="51"/>
  <c r="C46" i="51"/>
  <c r="C16" i="51"/>
  <c r="C32" i="51"/>
  <c r="C48" i="51"/>
  <c r="C25" i="51"/>
  <c r="C49" i="51"/>
  <c r="C26" i="51"/>
  <c r="C42" i="51"/>
  <c r="C19" i="51"/>
  <c r="C43" i="51"/>
  <c r="C4" i="51"/>
  <c r="D2" i="51" s="1"/>
  <c r="C28" i="51"/>
  <c r="C52" i="51"/>
  <c r="C7" i="51"/>
  <c r="C15" i="51"/>
  <c r="C23" i="51"/>
  <c r="C31" i="51"/>
  <c r="C39" i="51"/>
  <c r="C47" i="51"/>
  <c r="C8" i="51"/>
  <c r="C24" i="51"/>
  <c r="C40" i="51"/>
  <c r="C9" i="51"/>
  <c r="C33" i="51"/>
  <c r="C10" i="51"/>
  <c r="C34" i="51"/>
  <c r="C11" i="51"/>
  <c r="C35" i="51"/>
  <c r="C12" i="51"/>
  <c r="C36" i="51"/>
  <c r="C4" i="15"/>
  <c r="D2" i="15" s="1"/>
  <c r="D45" i="15" s="1"/>
  <c r="C12" i="15"/>
  <c r="C20" i="15"/>
  <c r="C28" i="15"/>
  <c r="C36" i="15"/>
  <c r="C44" i="15"/>
  <c r="C52" i="15"/>
  <c r="C6" i="15"/>
  <c r="C22" i="15"/>
  <c r="C30" i="15"/>
  <c r="C38" i="15"/>
  <c r="C46" i="15"/>
  <c r="C7" i="15"/>
  <c r="C23" i="15"/>
  <c r="C39" i="15"/>
  <c r="C27" i="15"/>
  <c r="C43" i="15"/>
  <c r="C5" i="15"/>
  <c r="C13" i="15"/>
  <c r="C21" i="15"/>
  <c r="C29" i="15"/>
  <c r="C37" i="15"/>
  <c r="C45" i="15"/>
  <c r="C53" i="15"/>
  <c r="C14" i="15"/>
  <c r="C15" i="15"/>
  <c r="C31" i="15"/>
  <c r="C47" i="15"/>
  <c r="C19" i="15"/>
  <c r="C51" i="15"/>
  <c r="C8" i="15"/>
  <c r="C16" i="15"/>
  <c r="C24" i="15"/>
  <c r="C32" i="15"/>
  <c r="C40" i="15"/>
  <c r="C48" i="15"/>
  <c r="C9" i="15"/>
  <c r="C17" i="15"/>
  <c r="C25" i="15"/>
  <c r="C33" i="15"/>
  <c r="C41" i="15"/>
  <c r="C49" i="15"/>
  <c r="C10" i="15"/>
  <c r="C18" i="15"/>
  <c r="C26" i="15"/>
  <c r="C34" i="15"/>
  <c r="C42" i="15"/>
  <c r="C50" i="15"/>
  <c r="C11" i="15"/>
  <c r="C35" i="15"/>
  <c r="D3" i="36"/>
  <c r="E3" i="36" s="1"/>
  <c r="F3" i="36" s="1"/>
  <c r="D4" i="36"/>
  <c r="D8" i="36"/>
  <c r="E8" i="36" s="1"/>
  <c r="D12" i="36"/>
  <c r="E12" i="36" s="1"/>
  <c r="D16" i="36"/>
  <c r="E16" i="36" s="1"/>
  <c r="D20" i="36"/>
  <c r="E20" i="36" s="1"/>
  <c r="D24" i="36"/>
  <c r="E24" i="36" s="1"/>
  <c r="D28" i="36"/>
  <c r="E28" i="36" s="1"/>
  <c r="D32" i="36"/>
  <c r="E32" i="36" s="1"/>
  <c r="D36" i="36"/>
  <c r="E36" i="36" s="1"/>
  <c r="D40" i="36"/>
  <c r="E40" i="36" s="1"/>
  <c r="D44" i="36"/>
  <c r="E44" i="36" s="1"/>
  <c r="D48" i="36"/>
  <c r="E48" i="36" s="1"/>
  <c r="D52" i="36"/>
  <c r="E52" i="36" s="1"/>
  <c r="D15" i="36"/>
  <c r="E15" i="36" s="1"/>
  <c r="D31" i="36"/>
  <c r="E31" i="36" s="1"/>
  <c r="D51" i="36"/>
  <c r="E51" i="36" s="1"/>
  <c r="D5" i="36"/>
  <c r="E5" i="36" s="1"/>
  <c r="D9" i="36"/>
  <c r="E9" i="36" s="1"/>
  <c r="D13" i="36"/>
  <c r="E13" i="36" s="1"/>
  <c r="D17" i="36"/>
  <c r="E17" i="36" s="1"/>
  <c r="D21" i="36"/>
  <c r="E21" i="36" s="1"/>
  <c r="D25" i="36"/>
  <c r="E25" i="36" s="1"/>
  <c r="D29" i="36"/>
  <c r="E29" i="36" s="1"/>
  <c r="D33" i="36"/>
  <c r="E33" i="36" s="1"/>
  <c r="D37" i="36"/>
  <c r="E37" i="36" s="1"/>
  <c r="D41" i="36"/>
  <c r="E41" i="36" s="1"/>
  <c r="D45" i="36"/>
  <c r="E45" i="36" s="1"/>
  <c r="D49" i="36"/>
  <c r="E49" i="36" s="1"/>
  <c r="D53" i="36"/>
  <c r="E53" i="36" s="1"/>
  <c r="D6" i="36"/>
  <c r="E6" i="36" s="1"/>
  <c r="D10" i="36"/>
  <c r="E10" i="36" s="1"/>
  <c r="D14" i="36"/>
  <c r="E14" i="36" s="1"/>
  <c r="D18" i="36"/>
  <c r="E18" i="36" s="1"/>
  <c r="D22" i="36"/>
  <c r="E22" i="36" s="1"/>
  <c r="D30" i="36"/>
  <c r="E30" i="36" s="1"/>
  <c r="D34" i="36"/>
  <c r="E34" i="36" s="1"/>
  <c r="D38" i="36"/>
  <c r="E38" i="36" s="1"/>
  <c r="D42" i="36"/>
  <c r="E42" i="36" s="1"/>
  <c r="D46" i="36"/>
  <c r="E46" i="36" s="1"/>
  <c r="D50" i="36"/>
  <c r="E50" i="36" s="1"/>
  <c r="D11" i="36"/>
  <c r="E11" i="36" s="1"/>
  <c r="D23" i="36"/>
  <c r="E23" i="36" s="1"/>
  <c r="D35" i="36"/>
  <c r="E35" i="36" s="1"/>
  <c r="D43" i="36"/>
  <c r="E43" i="36" s="1"/>
  <c r="D26" i="36"/>
  <c r="E26" i="36" s="1"/>
  <c r="D7" i="36"/>
  <c r="E7" i="36" s="1"/>
  <c r="D19" i="36"/>
  <c r="E19" i="36" s="1"/>
  <c r="D27" i="36"/>
  <c r="E27" i="36" s="1"/>
  <c r="D39" i="36"/>
  <c r="E39" i="36" s="1"/>
  <c r="D47" i="36"/>
  <c r="E47" i="36" s="1"/>
  <c r="C3" i="51"/>
  <c r="E2" i="51" s="1"/>
  <c r="C3" i="53"/>
  <c r="E2" i="53" s="1"/>
  <c r="C7" i="53"/>
  <c r="C15" i="53"/>
  <c r="C23" i="53"/>
  <c r="C31" i="53"/>
  <c r="C39" i="53"/>
  <c r="C47" i="53"/>
  <c r="C8" i="53"/>
  <c r="C16" i="53"/>
  <c r="C24" i="53"/>
  <c r="C32" i="53"/>
  <c r="C40" i="53"/>
  <c r="C48" i="53"/>
  <c r="C9" i="53"/>
  <c r="C17" i="53"/>
  <c r="C25" i="53"/>
  <c r="C33" i="53"/>
  <c r="C41" i="53"/>
  <c r="C49" i="53"/>
  <c r="C14" i="53"/>
  <c r="C28" i="53"/>
  <c r="C42" i="53"/>
  <c r="C53" i="53"/>
  <c r="C4" i="53"/>
  <c r="D2" i="53" s="1"/>
  <c r="C18" i="53"/>
  <c r="C29" i="53"/>
  <c r="C43" i="53"/>
  <c r="C5" i="53"/>
  <c r="C19" i="53"/>
  <c r="C30" i="53"/>
  <c r="C44" i="53"/>
  <c r="C12" i="53"/>
  <c r="C35" i="53"/>
  <c r="C52" i="53"/>
  <c r="C13" i="53"/>
  <c r="C36" i="53"/>
  <c r="C22" i="53"/>
  <c r="C45" i="53"/>
  <c r="C6" i="53"/>
  <c r="C26" i="53"/>
  <c r="C10" i="53"/>
  <c r="C27" i="53"/>
  <c r="C50" i="53"/>
  <c r="C11" i="53"/>
  <c r="C51" i="53"/>
  <c r="C46" i="53"/>
  <c r="C20" i="53"/>
  <c r="C37" i="53"/>
  <c r="C21" i="53"/>
  <c r="C38" i="53"/>
  <c r="C34" i="53"/>
  <c r="C3" i="15"/>
  <c r="C8" i="39"/>
  <c r="C16" i="39"/>
  <c r="C24" i="39"/>
  <c r="C32" i="39"/>
  <c r="C40" i="39"/>
  <c r="C48" i="39"/>
  <c r="C9" i="39"/>
  <c r="C17" i="39"/>
  <c r="C25" i="39"/>
  <c r="C33" i="39"/>
  <c r="C41" i="39"/>
  <c r="C49" i="39"/>
  <c r="C10" i="39"/>
  <c r="C18" i="39"/>
  <c r="C26" i="39"/>
  <c r="C34" i="39"/>
  <c r="C42" i="39"/>
  <c r="C50" i="39"/>
  <c r="C7" i="39"/>
  <c r="C21" i="39"/>
  <c r="C35" i="39"/>
  <c r="C46" i="39"/>
  <c r="C11" i="39"/>
  <c r="C22" i="39"/>
  <c r="C36" i="39"/>
  <c r="C47" i="39"/>
  <c r="C12" i="39"/>
  <c r="C23" i="39"/>
  <c r="C37" i="39"/>
  <c r="C51" i="39"/>
  <c r="C13" i="39"/>
  <c r="C27" i="39"/>
  <c r="C38" i="39"/>
  <c r="C52" i="39"/>
  <c r="C6" i="39"/>
  <c r="C31" i="39"/>
  <c r="C20" i="39"/>
  <c r="C45" i="39"/>
  <c r="C53" i="39"/>
  <c r="C4" i="39"/>
  <c r="C29" i="39"/>
  <c r="C30" i="39"/>
  <c r="C14" i="39"/>
  <c r="C39" i="39"/>
  <c r="C3" i="39"/>
  <c r="E2" i="39" s="1"/>
  <c r="C28" i="39"/>
  <c r="C15" i="39"/>
  <c r="C43" i="39"/>
  <c r="C19" i="39"/>
  <c r="C44" i="39"/>
  <c r="C5" i="39"/>
  <c r="C4" i="40"/>
  <c r="C12" i="40"/>
  <c r="C20" i="40"/>
  <c r="C28" i="40"/>
  <c r="C36" i="40"/>
  <c r="C44" i="40"/>
  <c r="C52" i="40"/>
  <c r="C5" i="40"/>
  <c r="C13" i="40"/>
  <c r="C21" i="40"/>
  <c r="C29" i="40"/>
  <c r="C37" i="40"/>
  <c r="C45" i="40"/>
  <c r="C53" i="40"/>
  <c r="C6" i="40"/>
  <c r="C14" i="40"/>
  <c r="C22" i="40"/>
  <c r="C30" i="40"/>
  <c r="C38" i="40"/>
  <c r="C46" i="40"/>
  <c r="C7" i="40"/>
  <c r="C18" i="40"/>
  <c r="C32" i="40"/>
  <c r="C43" i="40"/>
  <c r="C8" i="40"/>
  <c r="C19" i="40"/>
  <c r="C33" i="40"/>
  <c r="C47" i="40"/>
  <c r="C9" i="40"/>
  <c r="C23" i="40"/>
  <c r="C34" i="40"/>
  <c r="C48" i="40"/>
  <c r="C3" i="40"/>
  <c r="E2" i="40" s="1"/>
  <c r="C10" i="40"/>
  <c r="C35" i="40"/>
  <c r="C49" i="40"/>
  <c r="C11" i="40"/>
  <c r="C31" i="40"/>
  <c r="C24" i="40"/>
  <c r="C25" i="40"/>
  <c r="C51" i="40"/>
  <c r="C27" i="40"/>
  <c r="C15" i="40"/>
  <c r="C39" i="40"/>
  <c r="C50" i="40"/>
  <c r="C26" i="40"/>
  <c r="C16" i="40"/>
  <c r="C40" i="40"/>
  <c r="C17" i="40"/>
  <c r="C41" i="40"/>
  <c r="C42" i="40"/>
  <c r="C9" i="59"/>
  <c r="C6" i="59"/>
  <c r="C18" i="59"/>
  <c r="C28" i="59"/>
  <c r="C38" i="59"/>
  <c r="C50" i="59"/>
  <c r="C7" i="59"/>
  <c r="C19" i="59"/>
  <c r="C29" i="59"/>
  <c r="C39" i="59"/>
  <c r="C51" i="59"/>
  <c r="C10" i="59"/>
  <c r="C20" i="59"/>
  <c r="C30" i="59"/>
  <c r="C42" i="59"/>
  <c r="C52" i="59"/>
  <c r="C12" i="59"/>
  <c r="C27" i="59"/>
  <c r="C45" i="59"/>
  <c r="C13" i="59"/>
  <c r="C31" i="59"/>
  <c r="C46" i="59"/>
  <c r="C14" i="59"/>
  <c r="C34" i="59"/>
  <c r="C47" i="59"/>
  <c r="C26" i="59"/>
  <c r="C35" i="59"/>
  <c r="C15" i="59"/>
  <c r="C43" i="59"/>
  <c r="C21" i="59"/>
  <c r="C22" i="59"/>
  <c r="C53" i="59"/>
  <c r="C23" i="59"/>
  <c r="C4" i="59"/>
  <c r="D2" i="59" s="1"/>
  <c r="C44" i="59"/>
  <c r="C5" i="59"/>
  <c r="C36" i="59"/>
  <c r="C11" i="59"/>
  <c r="C37" i="59"/>
  <c r="C3" i="59"/>
  <c r="E2" i="59" s="1"/>
  <c r="C48" i="59"/>
  <c r="C41" i="59"/>
  <c r="C24" i="59"/>
  <c r="C33" i="59"/>
  <c r="C16" i="59"/>
  <c r="C25" i="59"/>
  <c r="C8" i="59"/>
  <c r="C17" i="59"/>
  <c r="C49" i="59"/>
  <c r="C40" i="59"/>
  <c r="C32" i="59"/>
  <c r="C3" i="38"/>
  <c r="E2" i="38" s="1"/>
  <c r="C10" i="38"/>
  <c r="C18" i="38"/>
  <c r="C26" i="38"/>
  <c r="C34" i="38"/>
  <c r="C42" i="38"/>
  <c r="C50" i="38"/>
  <c r="C11" i="38"/>
  <c r="C19" i="38"/>
  <c r="C27" i="38"/>
  <c r="C35" i="38"/>
  <c r="C43" i="38"/>
  <c r="C51" i="38"/>
  <c r="C4" i="38"/>
  <c r="C12" i="38"/>
  <c r="C20" i="38"/>
  <c r="C28" i="38"/>
  <c r="C36" i="38"/>
  <c r="C44" i="38"/>
  <c r="C52" i="38"/>
  <c r="C7" i="38"/>
  <c r="C21" i="38"/>
  <c r="C32" i="38"/>
  <c r="C46" i="38"/>
  <c r="C8" i="38"/>
  <c r="C22" i="38"/>
  <c r="C33" i="38"/>
  <c r="C47" i="38"/>
  <c r="C9" i="38"/>
  <c r="C23" i="38"/>
  <c r="C37" i="38"/>
  <c r="C48" i="38"/>
  <c r="C13" i="38"/>
  <c r="C24" i="38"/>
  <c r="C38" i="38"/>
  <c r="C49" i="38"/>
  <c r="C6" i="38"/>
  <c r="C31" i="38"/>
  <c r="C45" i="38"/>
  <c r="C53" i="38"/>
  <c r="C29" i="38"/>
  <c r="C30" i="38"/>
  <c r="C14" i="38"/>
  <c r="C39" i="38"/>
  <c r="C25" i="38"/>
  <c r="C15" i="38"/>
  <c r="C40" i="38"/>
  <c r="C16" i="38"/>
  <c r="C41" i="38"/>
  <c r="C17" i="38"/>
  <c r="C5" i="38"/>
  <c r="C4" i="10"/>
  <c r="D2" i="10" s="1"/>
  <c r="C12" i="10"/>
  <c r="C20" i="10"/>
  <c r="C28" i="10"/>
  <c r="C36" i="10"/>
  <c r="C44" i="10"/>
  <c r="C53" i="10"/>
  <c r="C14" i="10"/>
  <c r="C38" i="10"/>
  <c r="C3" i="10"/>
  <c r="E2" i="10" s="1"/>
  <c r="C7" i="10"/>
  <c r="C15" i="10"/>
  <c r="C23" i="10"/>
  <c r="C31" i="10"/>
  <c r="C39" i="10"/>
  <c r="C47" i="10"/>
  <c r="C8" i="10"/>
  <c r="C16" i="10"/>
  <c r="C24" i="10"/>
  <c r="C32" i="10"/>
  <c r="C40" i="10"/>
  <c r="C48" i="10"/>
  <c r="C9" i="10"/>
  <c r="C17" i="10"/>
  <c r="C25" i="10"/>
  <c r="C33" i="10"/>
  <c r="C41" i="10"/>
  <c r="C49" i="10"/>
  <c r="C10" i="10"/>
  <c r="C18" i="10"/>
  <c r="C26" i="10"/>
  <c r="C34" i="10"/>
  <c r="C42" i="10"/>
  <c r="C50" i="10"/>
  <c r="C11" i="10"/>
  <c r="C19" i="10"/>
  <c r="C27" i="10"/>
  <c r="C35" i="10"/>
  <c r="C43" i="10"/>
  <c r="C51" i="10"/>
  <c r="C52" i="10"/>
  <c r="C5" i="10"/>
  <c r="C13" i="10"/>
  <c r="C21" i="10"/>
  <c r="C29" i="10"/>
  <c r="C37" i="10"/>
  <c r="C45" i="10"/>
  <c r="C6" i="10"/>
  <c r="C22" i="10"/>
  <c r="C30" i="10"/>
  <c r="C46" i="10"/>
  <c r="AI13" i="7"/>
  <c r="AR13" i="7"/>
  <c r="H4" i="38"/>
  <c r="S6" i="11" s="1"/>
  <c r="S108" i="11" s="1"/>
  <c r="H4" i="28"/>
  <c r="H4" i="40"/>
  <c r="AB6" i="11" s="1"/>
  <c r="AB108" i="11" s="1"/>
  <c r="D2" i="61"/>
  <c r="D2" i="63"/>
  <c r="D2" i="62"/>
  <c r="D2" i="60"/>
  <c r="D2" i="58"/>
  <c r="D2" i="48"/>
  <c r="D2" i="52"/>
  <c r="D2" i="47"/>
  <c r="H16" i="32" l="1"/>
  <c r="C30" i="26"/>
  <c r="C43" i="26"/>
  <c r="C4" i="26"/>
  <c r="D2" i="26" s="1"/>
  <c r="D13" i="26" s="1"/>
  <c r="C13" i="26"/>
  <c r="C34" i="26"/>
  <c r="C39" i="26"/>
  <c r="C40" i="26"/>
  <c r="C23" i="26"/>
  <c r="C33" i="26"/>
  <c r="C37" i="26"/>
  <c r="C48" i="26"/>
  <c r="C3" i="26"/>
  <c r="E2" i="26" s="1"/>
  <c r="C6" i="26"/>
  <c r="C14" i="26"/>
  <c r="C42" i="26"/>
  <c r="C32" i="26"/>
  <c r="C45" i="26"/>
  <c r="C52" i="26"/>
  <c r="C50" i="26"/>
  <c r="C47" i="26"/>
  <c r="C17" i="26"/>
  <c r="C38" i="26"/>
  <c r="C49" i="26"/>
  <c r="C51" i="26"/>
  <c r="C19" i="26"/>
  <c r="C18" i="26"/>
  <c r="C15" i="26"/>
  <c r="C53" i="26"/>
  <c r="C24" i="26"/>
  <c r="C12" i="26"/>
  <c r="C46" i="26"/>
  <c r="C10" i="26"/>
  <c r="C9" i="26"/>
  <c r="C44" i="26"/>
  <c r="C25" i="26"/>
  <c r="C35" i="26"/>
  <c r="C16" i="26"/>
  <c r="C22" i="26"/>
  <c r="C20" i="26"/>
  <c r="C29" i="26"/>
  <c r="C36" i="26"/>
  <c r="C21" i="26"/>
  <c r="C31" i="26"/>
  <c r="C5" i="26"/>
  <c r="C41" i="26"/>
  <c r="C26" i="26"/>
  <c r="C7" i="26"/>
  <c r="C8" i="26"/>
  <c r="C11" i="26"/>
  <c r="C28" i="26"/>
  <c r="C27" i="26"/>
  <c r="D51" i="13"/>
  <c r="E51" i="13" s="1"/>
  <c r="D6" i="13"/>
  <c r="E6" i="13" s="1"/>
  <c r="D48" i="13"/>
  <c r="E48" i="13" s="1"/>
  <c r="D28" i="13"/>
  <c r="E28" i="13" s="1"/>
  <c r="D24" i="13"/>
  <c r="E24" i="13" s="1"/>
  <c r="D43" i="13"/>
  <c r="E43" i="13" s="1"/>
  <c r="D34" i="13"/>
  <c r="E34" i="13" s="1"/>
  <c r="D10" i="13"/>
  <c r="E10" i="13" s="1"/>
  <c r="D39" i="13"/>
  <c r="E39" i="13" s="1"/>
  <c r="D53" i="13"/>
  <c r="E53" i="13" s="1"/>
  <c r="D16" i="13"/>
  <c r="E16" i="13" s="1"/>
  <c r="D7" i="13"/>
  <c r="E7" i="13" s="1"/>
  <c r="D21" i="13"/>
  <c r="E21" i="13" s="1"/>
  <c r="D50" i="13"/>
  <c r="E50" i="13" s="1"/>
  <c r="D27" i="13"/>
  <c r="E27" i="13" s="1"/>
  <c r="D41" i="13"/>
  <c r="E41" i="13" s="1"/>
  <c r="D8" i="13"/>
  <c r="E8" i="13" s="1"/>
  <c r="D13" i="13"/>
  <c r="E13" i="13" s="1"/>
  <c r="D42" i="13"/>
  <c r="E42" i="13" s="1"/>
  <c r="D9" i="13"/>
  <c r="E9" i="13" s="1"/>
  <c r="D35" i="13"/>
  <c r="E35" i="13" s="1"/>
  <c r="D38" i="13"/>
  <c r="E38" i="13" s="1"/>
  <c r="D45" i="13"/>
  <c r="E45" i="13" s="1"/>
  <c r="D5" i="13"/>
  <c r="E5" i="13" s="1"/>
  <c r="D12" i="13"/>
  <c r="E12" i="13" s="1"/>
  <c r="D23" i="13"/>
  <c r="E23" i="13" s="1"/>
  <c r="D26" i="13"/>
  <c r="E26" i="13" s="1"/>
  <c r="D37" i="13"/>
  <c r="E37" i="13" s="1"/>
  <c r="D44" i="13"/>
  <c r="E44" i="13" s="1"/>
  <c r="D19" i="13"/>
  <c r="E19" i="13" s="1"/>
  <c r="D22" i="13"/>
  <c r="E22" i="13" s="1"/>
  <c r="D29" i="13"/>
  <c r="E29" i="13" s="1"/>
  <c r="D40" i="13"/>
  <c r="E40" i="13" s="1"/>
  <c r="D11" i="13"/>
  <c r="E11" i="13" s="1"/>
  <c r="D18" i="13"/>
  <c r="E18" i="13" s="1"/>
  <c r="D25" i="13"/>
  <c r="E25" i="13" s="1"/>
  <c r="D32" i="13"/>
  <c r="E32" i="13" s="1"/>
  <c r="D47" i="13"/>
  <c r="E47" i="13" s="1"/>
  <c r="D15" i="13"/>
  <c r="E15" i="13" s="1"/>
  <c r="D30" i="13"/>
  <c r="E30" i="13" s="1"/>
  <c r="D49" i="13"/>
  <c r="E49" i="13" s="1"/>
  <c r="D17" i="13"/>
  <c r="E17" i="13" s="1"/>
  <c r="D36" i="13"/>
  <c r="E36" i="13" s="1"/>
  <c r="D4" i="13"/>
  <c r="D3" i="13"/>
  <c r="E3" i="13" s="1"/>
  <c r="F3" i="13" s="1"/>
  <c r="G3" i="13" s="1"/>
  <c r="D31" i="13"/>
  <c r="E31" i="13" s="1"/>
  <c r="D46" i="13"/>
  <c r="E46" i="13" s="1"/>
  <c r="D14" i="13"/>
  <c r="E14" i="13" s="1"/>
  <c r="D33" i="13"/>
  <c r="E33" i="13" s="1"/>
  <c r="D52" i="13"/>
  <c r="E52" i="13" s="1"/>
  <c r="E20" i="13"/>
  <c r="D50" i="14"/>
  <c r="E50" i="14" s="1"/>
  <c r="D15" i="14"/>
  <c r="E15" i="14" s="1"/>
  <c r="D18" i="14"/>
  <c r="E18" i="14" s="1"/>
  <c r="E45" i="14"/>
  <c r="D9" i="14"/>
  <c r="E9" i="14" s="1"/>
  <c r="D24" i="14"/>
  <c r="E24" i="14" s="1"/>
  <c r="D33" i="14"/>
  <c r="E33" i="14" s="1"/>
  <c r="D46" i="14"/>
  <c r="E46" i="14" s="1"/>
  <c r="D52" i="14"/>
  <c r="E52" i="14" s="1"/>
  <c r="D20" i="14"/>
  <c r="E20" i="14" s="1"/>
  <c r="D42" i="14"/>
  <c r="E42" i="14" s="1"/>
  <c r="D10" i="14"/>
  <c r="E10" i="14" s="1"/>
  <c r="D48" i="14"/>
  <c r="E48" i="14" s="1"/>
  <c r="D16" i="14"/>
  <c r="E16" i="14" s="1"/>
  <c r="D13" i="14"/>
  <c r="E13" i="14" s="1"/>
  <c r="D38" i="14"/>
  <c r="E38" i="14" s="1"/>
  <c r="D44" i="14"/>
  <c r="E44" i="14" s="1"/>
  <c r="D5" i="14"/>
  <c r="E5" i="14" s="1"/>
  <c r="D37" i="14"/>
  <c r="E37" i="14" s="1"/>
  <c r="D39" i="14"/>
  <c r="E39" i="14" s="1"/>
  <c r="D36" i="14"/>
  <c r="E36" i="14" s="1"/>
  <c r="D53" i="14"/>
  <c r="E53" i="14" s="1"/>
  <c r="D14" i="14"/>
  <c r="E14" i="14" s="1"/>
  <c r="D7" i="14"/>
  <c r="E7" i="14" s="1"/>
  <c r="D21" i="14"/>
  <c r="E21" i="14" s="1"/>
  <c r="D51" i="14"/>
  <c r="E51" i="14" s="1"/>
  <c r="D49" i="14"/>
  <c r="E49" i="14" s="1"/>
  <c r="D43" i="14"/>
  <c r="E43" i="14" s="1"/>
  <c r="D6" i="14"/>
  <c r="E6" i="14" s="1"/>
  <c r="D41" i="14"/>
  <c r="E41" i="14" s="1"/>
  <c r="D12" i="14"/>
  <c r="E12" i="14" s="1"/>
  <c r="D35" i="14"/>
  <c r="E35" i="14" s="1"/>
  <c r="D34" i="14"/>
  <c r="E34" i="14" s="1"/>
  <c r="D47" i="14"/>
  <c r="E47" i="14" s="1"/>
  <c r="D40" i="14"/>
  <c r="E40" i="14" s="1"/>
  <c r="D8" i="14"/>
  <c r="E8" i="14" s="1"/>
  <c r="D27" i="14"/>
  <c r="E27" i="14" s="1"/>
  <c r="D30" i="14"/>
  <c r="E30" i="14" s="1"/>
  <c r="D29" i="14"/>
  <c r="E29" i="14" s="1"/>
  <c r="D4" i="14"/>
  <c r="D3" i="14"/>
  <c r="E3" i="14" s="1"/>
  <c r="F3" i="14" s="1"/>
  <c r="G3" i="14" s="1"/>
  <c r="D19" i="14"/>
  <c r="E19" i="14" s="1"/>
  <c r="D26" i="14"/>
  <c r="E26" i="14" s="1"/>
  <c r="D31" i="14"/>
  <c r="E31" i="14" s="1"/>
  <c r="D25" i="14"/>
  <c r="E25" i="14" s="1"/>
  <c r="D32" i="14"/>
  <c r="E32" i="14" s="1"/>
  <c r="D11" i="14"/>
  <c r="E11" i="14" s="1"/>
  <c r="D22" i="14"/>
  <c r="E22" i="14" s="1"/>
  <c r="D23" i="14"/>
  <c r="E23" i="14" s="1"/>
  <c r="D17" i="14"/>
  <c r="E17" i="14" s="1"/>
  <c r="D28" i="14"/>
  <c r="E28" i="14" s="1"/>
  <c r="D3" i="51"/>
  <c r="E3" i="51" s="1"/>
  <c r="D4" i="51"/>
  <c r="D8" i="51"/>
  <c r="E8" i="51" s="1"/>
  <c r="D12" i="51"/>
  <c r="E12" i="51" s="1"/>
  <c r="D16" i="51"/>
  <c r="E16" i="51" s="1"/>
  <c r="D20" i="51"/>
  <c r="E20" i="51" s="1"/>
  <c r="D24" i="51"/>
  <c r="E24" i="51" s="1"/>
  <c r="D28" i="51"/>
  <c r="E28" i="51" s="1"/>
  <c r="D32" i="51"/>
  <c r="E32" i="51" s="1"/>
  <c r="D36" i="51"/>
  <c r="E36" i="51" s="1"/>
  <c r="D40" i="51"/>
  <c r="E40" i="51" s="1"/>
  <c r="D44" i="51"/>
  <c r="E44" i="51" s="1"/>
  <c r="D48" i="51"/>
  <c r="E48" i="51" s="1"/>
  <c r="D52" i="51"/>
  <c r="E52" i="51" s="1"/>
  <c r="D9" i="51"/>
  <c r="E9" i="51" s="1"/>
  <c r="D13" i="51"/>
  <c r="E13" i="51" s="1"/>
  <c r="D17" i="51"/>
  <c r="E17" i="51" s="1"/>
  <c r="D25" i="51"/>
  <c r="E25" i="51" s="1"/>
  <c r="D29" i="51"/>
  <c r="E29" i="51" s="1"/>
  <c r="D33" i="51"/>
  <c r="E33" i="51" s="1"/>
  <c r="D41" i="51"/>
  <c r="E41" i="51" s="1"/>
  <c r="D45" i="51"/>
  <c r="E45" i="51" s="1"/>
  <c r="D53" i="51"/>
  <c r="E53" i="51" s="1"/>
  <c r="D7" i="51"/>
  <c r="E7" i="51" s="1"/>
  <c r="D15" i="51"/>
  <c r="E15" i="51" s="1"/>
  <c r="D19" i="51"/>
  <c r="E19" i="51" s="1"/>
  <c r="D23" i="51"/>
  <c r="E23" i="51" s="1"/>
  <c r="D31" i="51"/>
  <c r="E31" i="51" s="1"/>
  <c r="D35" i="51"/>
  <c r="E35" i="51" s="1"/>
  <c r="D43" i="51"/>
  <c r="E43" i="51" s="1"/>
  <c r="D51" i="51"/>
  <c r="E51" i="51" s="1"/>
  <c r="D5" i="51"/>
  <c r="E5" i="51" s="1"/>
  <c r="D21" i="51"/>
  <c r="E21" i="51" s="1"/>
  <c r="D37" i="51"/>
  <c r="E37" i="51" s="1"/>
  <c r="D49" i="51"/>
  <c r="E49" i="51" s="1"/>
  <c r="D47" i="51"/>
  <c r="E47" i="51" s="1"/>
  <c r="D6" i="51"/>
  <c r="E6" i="51" s="1"/>
  <c r="D10" i="51"/>
  <c r="E10" i="51" s="1"/>
  <c r="D14" i="51"/>
  <c r="E14" i="51" s="1"/>
  <c r="D18" i="51"/>
  <c r="E18" i="51" s="1"/>
  <c r="D22" i="51"/>
  <c r="E22" i="51" s="1"/>
  <c r="D26" i="51"/>
  <c r="E26" i="51" s="1"/>
  <c r="D30" i="51"/>
  <c r="E30" i="51" s="1"/>
  <c r="D34" i="51"/>
  <c r="E34" i="51" s="1"/>
  <c r="D38" i="51"/>
  <c r="E38" i="51" s="1"/>
  <c r="D42" i="51"/>
  <c r="E42" i="51" s="1"/>
  <c r="D46" i="51"/>
  <c r="E46" i="51" s="1"/>
  <c r="D50" i="51"/>
  <c r="E50" i="51" s="1"/>
  <c r="D11" i="51"/>
  <c r="E11" i="51" s="1"/>
  <c r="D27" i="51"/>
  <c r="E27" i="51" s="1"/>
  <c r="D39" i="51"/>
  <c r="E39" i="51" s="1"/>
  <c r="D41" i="15"/>
  <c r="E41" i="15" s="1"/>
  <c r="D20" i="15"/>
  <c r="E20" i="15" s="1"/>
  <c r="D50" i="15"/>
  <c r="E50" i="15" s="1"/>
  <c r="D33" i="15"/>
  <c r="E33" i="15" s="1"/>
  <c r="D23" i="15"/>
  <c r="E23" i="15" s="1"/>
  <c r="D35" i="15"/>
  <c r="E35" i="15" s="1"/>
  <c r="D42" i="15"/>
  <c r="E42" i="15" s="1"/>
  <c r="D34" i="15"/>
  <c r="E34" i="15" s="1"/>
  <c r="D52" i="15"/>
  <c r="E52" i="15" s="1"/>
  <c r="D36" i="15"/>
  <c r="E36" i="15" s="1"/>
  <c r="D31" i="15"/>
  <c r="E31" i="15" s="1"/>
  <c r="D24" i="15"/>
  <c r="E24" i="15" s="1"/>
  <c r="D47" i="15"/>
  <c r="E47" i="15" s="1"/>
  <c r="D15" i="15"/>
  <c r="E15" i="15" s="1"/>
  <c r="D32" i="15"/>
  <c r="E32" i="15" s="1"/>
  <c r="D21" i="15"/>
  <c r="E21" i="15" s="1"/>
  <c r="D26" i="15"/>
  <c r="E26" i="15" s="1"/>
  <c r="D37" i="15"/>
  <c r="E37" i="15" s="1"/>
  <c r="D4" i="15"/>
  <c r="D18" i="15"/>
  <c r="E18" i="15" s="1"/>
  <c r="D25" i="15"/>
  <c r="E25" i="15" s="1"/>
  <c r="D43" i="15"/>
  <c r="E43" i="15" s="1"/>
  <c r="D53" i="15"/>
  <c r="E53" i="15" s="1"/>
  <c r="D5" i="15"/>
  <c r="E5" i="15" s="1"/>
  <c r="D11" i="15"/>
  <c r="E11" i="15" s="1"/>
  <c r="D39" i="15"/>
  <c r="E39" i="15" s="1"/>
  <c r="D10" i="15"/>
  <c r="E10" i="15" s="1"/>
  <c r="D46" i="15"/>
  <c r="E46" i="15" s="1"/>
  <c r="D17" i="15"/>
  <c r="E17" i="15" s="1"/>
  <c r="D28" i="15"/>
  <c r="E28" i="15" s="1"/>
  <c r="D27" i="15"/>
  <c r="E27" i="15" s="1"/>
  <c r="D9" i="15"/>
  <c r="E9" i="15" s="1"/>
  <c r="D3" i="15"/>
  <c r="E3" i="15" s="1"/>
  <c r="D19" i="15"/>
  <c r="E19" i="15" s="1"/>
  <c r="D29" i="15"/>
  <c r="E29" i="15" s="1"/>
  <c r="D22" i="15"/>
  <c r="E22" i="15" s="1"/>
  <c r="D48" i="15"/>
  <c r="E48" i="15" s="1"/>
  <c r="D16" i="15"/>
  <c r="E16" i="15" s="1"/>
  <c r="D30" i="15"/>
  <c r="E30" i="15" s="1"/>
  <c r="D7" i="15"/>
  <c r="E7" i="15" s="1"/>
  <c r="D13" i="15"/>
  <c r="E13" i="15" s="1"/>
  <c r="D14" i="15"/>
  <c r="E14" i="15" s="1"/>
  <c r="D44" i="15"/>
  <c r="E44" i="15" s="1"/>
  <c r="D12" i="15"/>
  <c r="E12" i="15" s="1"/>
  <c r="D6" i="15"/>
  <c r="E6" i="15" s="1"/>
  <c r="D38" i="15"/>
  <c r="E38" i="15" s="1"/>
  <c r="D51" i="15"/>
  <c r="E51" i="15" s="1"/>
  <c r="D49" i="15"/>
  <c r="E49" i="15" s="1"/>
  <c r="D40" i="15"/>
  <c r="E40" i="15" s="1"/>
  <c r="D8" i="15"/>
  <c r="E8" i="15" s="1"/>
  <c r="E45" i="15"/>
  <c r="G3" i="36"/>
  <c r="E2" i="15"/>
  <c r="D3" i="64"/>
  <c r="E3" i="64" s="1"/>
  <c r="D9" i="64"/>
  <c r="E9" i="64" s="1"/>
  <c r="D13" i="64"/>
  <c r="E13" i="64" s="1"/>
  <c r="D17" i="64"/>
  <c r="E17" i="64" s="1"/>
  <c r="D25" i="64"/>
  <c r="E25" i="64" s="1"/>
  <c r="D33" i="64"/>
  <c r="E33" i="64" s="1"/>
  <c r="D37" i="64"/>
  <c r="E37" i="64" s="1"/>
  <c r="D41" i="64"/>
  <c r="E41" i="64" s="1"/>
  <c r="D49" i="64"/>
  <c r="E49" i="64" s="1"/>
  <c r="D53" i="64"/>
  <c r="E53" i="64" s="1"/>
  <c r="D7" i="64"/>
  <c r="E7" i="64" s="1"/>
  <c r="D19" i="64"/>
  <c r="E19" i="64" s="1"/>
  <c r="D23" i="64"/>
  <c r="E23" i="64" s="1"/>
  <c r="D27" i="64"/>
  <c r="E27" i="64" s="1"/>
  <c r="D35" i="64"/>
  <c r="E35" i="64" s="1"/>
  <c r="D43" i="64"/>
  <c r="E43" i="64" s="1"/>
  <c r="D51" i="64"/>
  <c r="E51" i="64" s="1"/>
  <c r="D4" i="64"/>
  <c r="D8" i="64"/>
  <c r="E8" i="64" s="1"/>
  <c r="D12" i="64"/>
  <c r="E12" i="64" s="1"/>
  <c r="D16" i="64"/>
  <c r="E16" i="64" s="1"/>
  <c r="D20" i="64"/>
  <c r="E20" i="64" s="1"/>
  <c r="D24" i="64"/>
  <c r="E24" i="64" s="1"/>
  <c r="D28" i="64"/>
  <c r="E28" i="64" s="1"/>
  <c r="D32" i="64"/>
  <c r="E32" i="64" s="1"/>
  <c r="D36" i="64"/>
  <c r="E36" i="64" s="1"/>
  <c r="D40" i="64"/>
  <c r="E40" i="64" s="1"/>
  <c r="D44" i="64"/>
  <c r="E44" i="64" s="1"/>
  <c r="D48" i="64"/>
  <c r="E48" i="64" s="1"/>
  <c r="D52" i="64"/>
  <c r="E52" i="64" s="1"/>
  <c r="D5" i="64"/>
  <c r="E5" i="64" s="1"/>
  <c r="D21" i="64"/>
  <c r="E21" i="64" s="1"/>
  <c r="D29" i="64"/>
  <c r="E29" i="64" s="1"/>
  <c r="D45" i="64"/>
  <c r="E45" i="64" s="1"/>
  <c r="D11" i="64"/>
  <c r="E11" i="64" s="1"/>
  <c r="D47" i="64"/>
  <c r="E47" i="64" s="1"/>
  <c r="D6" i="64"/>
  <c r="E6" i="64" s="1"/>
  <c r="D10" i="64"/>
  <c r="E10" i="64" s="1"/>
  <c r="D14" i="64"/>
  <c r="E14" i="64" s="1"/>
  <c r="D18" i="64"/>
  <c r="E18" i="64" s="1"/>
  <c r="D22" i="64"/>
  <c r="E22" i="64" s="1"/>
  <c r="D26" i="64"/>
  <c r="E26" i="64" s="1"/>
  <c r="D30" i="64"/>
  <c r="E30" i="64" s="1"/>
  <c r="D34" i="64"/>
  <c r="E34" i="64" s="1"/>
  <c r="D38" i="64"/>
  <c r="E38" i="64" s="1"/>
  <c r="D42" i="64"/>
  <c r="E42" i="64" s="1"/>
  <c r="D46" i="64"/>
  <c r="E46" i="64" s="1"/>
  <c r="D50" i="64"/>
  <c r="E50" i="64" s="1"/>
  <c r="D15" i="64"/>
  <c r="E15" i="64" s="1"/>
  <c r="D31" i="64"/>
  <c r="E31" i="64" s="1"/>
  <c r="D39" i="64"/>
  <c r="E39" i="64" s="1"/>
  <c r="D13" i="63"/>
  <c r="E13" i="63" s="1"/>
  <c r="D37" i="63"/>
  <c r="E37" i="63" s="1"/>
  <c r="D53" i="63"/>
  <c r="E53" i="63" s="1"/>
  <c r="D10" i="63"/>
  <c r="E10" i="63" s="1"/>
  <c r="D22" i="63"/>
  <c r="E22" i="63" s="1"/>
  <c r="D34" i="63"/>
  <c r="E34" i="63" s="1"/>
  <c r="D46" i="63"/>
  <c r="E46" i="63" s="1"/>
  <c r="D11" i="63"/>
  <c r="E11" i="63" s="1"/>
  <c r="D19" i="63"/>
  <c r="E19" i="63" s="1"/>
  <c r="D23" i="63"/>
  <c r="E23" i="63" s="1"/>
  <c r="D27" i="63"/>
  <c r="E27" i="63" s="1"/>
  <c r="D39" i="63"/>
  <c r="E39" i="63" s="1"/>
  <c r="D47" i="63"/>
  <c r="E47" i="63" s="1"/>
  <c r="D4" i="63"/>
  <c r="D8" i="63"/>
  <c r="E8" i="63" s="1"/>
  <c r="D12" i="63"/>
  <c r="E12" i="63" s="1"/>
  <c r="D16" i="63"/>
  <c r="E16" i="63" s="1"/>
  <c r="D20" i="63"/>
  <c r="E20" i="63" s="1"/>
  <c r="D24" i="63"/>
  <c r="E24" i="63" s="1"/>
  <c r="D28" i="63"/>
  <c r="E28" i="63" s="1"/>
  <c r="D32" i="63"/>
  <c r="E32" i="63" s="1"/>
  <c r="D36" i="63"/>
  <c r="E36" i="63" s="1"/>
  <c r="D40" i="63"/>
  <c r="E40" i="63" s="1"/>
  <c r="D44" i="63"/>
  <c r="E44" i="63" s="1"/>
  <c r="D48" i="63"/>
  <c r="E48" i="63" s="1"/>
  <c r="D52" i="63"/>
  <c r="E52" i="63" s="1"/>
  <c r="D9" i="63"/>
  <c r="E9" i="63" s="1"/>
  <c r="D25" i="63"/>
  <c r="E25" i="63" s="1"/>
  <c r="D33" i="63"/>
  <c r="E33" i="63" s="1"/>
  <c r="D45" i="63"/>
  <c r="E45" i="63" s="1"/>
  <c r="D14" i="63"/>
  <c r="E14" i="63" s="1"/>
  <c r="D30" i="63"/>
  <c r="E30" i="63" s="1"/>
  <c r="D42" i="63"/>
  <c r="E42" i="63" s="1"/>
  <c r="D15" i="63"/>
  <c r="E15" i="63" s="1"/>
  <c r="D35" i="63"/>
  <c r="E35" i="63" s="1"/>
  <c r="D51" i="63"/>
  <c r="E51" i="63" s="1"/>
  <c r="D5" i="63"/>
  <c r="E5" i="63" s="1"/>
  <c r="D17" i="63"/>
  <c r="E17" i="63" s="1"/>
  <c r="D21" i="63"/>
  <c r="E21" i="63" s="1"/>
  <c r="D29" i="63"/>
  <c r="E29" i="63" s="1"/>
  <c r="D41" i="63"/>
  <c r="E41" i="63" s="1"/>
  <c r="D49" i="63"/>
  <c r="E49" i="63" s="1"/>
  <c r="D6" i="63"/>
  <c r="E6" i="63" s="1"/>
  <c r="D18" i="63"/>
  <c r="E18" i="63" s="1"/>
  <c r="D26" i="63"/>
  <c r="E26" i="63" s="1"/>
  <c r="D38" i="63"/>
  <c r="E38" i="63" s="1"/>
  <c r="D50" i="63"/>
  <c r="E50" i="63" s="1"/>
  <c r="D7" i="63"/>
  <c r="E7" i="63" s="1"/>
  <c r="D31" i="63"/>
  <c r="E31" i="63" s="1"/>
  <c r="D43" i="63"/>
  <c r="E43" i="63" s="1"/>
  <c r="D3" i="62"/>
  <c r="E3" i="62" s="1"/>
  <c r="D14" i="62"/>
  <c r="E14" i="62" s="1"/>
  <c r="D11" i="62"/>
  <c r="E11" i="62" s="1"/>
  <c r="D23" i="62"/>
  <c r="E23" i="62" s="1"/>
  <c r="D35" i="62"/>
  <c r="E35" i="62" s="1"/>
  <c r="D47" i="62"/>
  <c r="E47" i="62" s="1"/>
  <c r="D4" i="62"/>
  <c r="D8" i="62"/>
  <c r="E8" i="62" s="1"/>
  <c r="D12" i="62"/>
  <c r="E12" i="62" s="1"/>
  <c r="D16" i="62"/>
  <c r="E16" i="62" s="1"/>
  <c r="D20" i="62"/>
  <c r="E20" i="62" s="1"/>
  <c r="D24" i="62"/>
  <c r="E24" i="62" s="1"/>
  <c r="D28" i="62"/>
  <c r="E28" i="62" s="1"/>
  <c r="D32" i="62"/>
  <c r="E32" i="62" s="1"/>
  <c r="D36" i="62"/>
  <c r="E36" i="62" s="1"/>
  <c r="D40" i="62"/>
  <c r="E40" i="62" s="1"/>
  <c r="D44" i="62"/>
  <c r="E44" i="62" s="1"/>
  <c r="D48" i="62"/>
  <c r="E48" i="62" s="1"/>
  <c r="D52" i="62"/>
  <c r="E52" i="62" s="1"/>
  <c r="D10" i="62"/>
  <c r="E10" i="62" s="1"/>
  <c r="D15" i="62"/>
  <c r="E15" i="62" s="1"/>
  <c r="D19" i="62"/>
  <c r="E19" i="62" s="1"/>
  <c r="D27" i="62"/>
  <c r="E27" i="62" s="1"/>
  <c r="D39" i="62"/>
  <c r="E39" i="62" s="1"/>
  <c r="D5" i="62"/>
  <c r="E5" i="62" s="1"/>
  <c r="D9" i="62"/>
  <c r="E9" i="62" s="1"/>
  <c r="D13" i="62"/>
  <c r="E13" i="62" s="1"/>
  <c r="D17" i="62"/>
  <c r="E17" i="62" s="1"/>
  <c r="D21" i="62"/>
  <c r="E21" i="62" s="1"/>
  <c r="D25" i="62"/>
  <c r="E25" i="62" s="1"/>
  <c r="D29" i="62"/>
  <c r="E29" i="62" s="1"/>
  <c r="D33" i="62"/>
  <c r="E33" i="62" s="1"/>
  <c r="D37" i="62"/>
  <c r="E37" i="62" s="1"/>
  <c r="D41" i="62"/>
  <c r="E41" i="62" s="1"/>
  <c r="D45" i="62"/>
  <c r="E45" i="62" s="1"/>
  <c r="D49" i="62"/>
  <c r="E49" i="62" s="1"/>
  <c r="D53" i="62"/>
  <c r="E53" i="62" s="1"/>
  <c r="D6" i="62"/>
  <c r="E6" i="62" s="1"/>
  <c r="D18" i="62"/>
  <c r="E18" i="62" s="1"/>
  <c r="D22" i="62"/>
  <c r="E22" i="62" s="1"/>
  <c r="D26" i="62"/>
  <c r="E26" i="62" s="1"/>
  <c r="D30" i="62"/>
  <c r="E30" i="62" s="1"/>
  <c r="D34" i="62"/>
  <c r="E34" i="62" s="1"/>
  <c r="D38" i="62"/>
  <c r="E38" i="62" s="1"/>
  <c r="D42" i="62"/>
  <c r="E42" i="62" s="1"/>
  <c r="D46" i="62"/>
  <c r="E46" i="62" s="1"/>
  <c r="D50" i="62"/>
  <c r="E50" i="62" s="1"/>
  <c r="D7" i="62"/>
  <c r="E7" i="62" s="1"/>
  <c r="D31" i="62"/>
  <c r="E31" i="62" s="1"/>
  <c r="D43" i="62"/>
  <c r="E43" i="62" s="1"/>
  <c r="D51" i="62"/>
  <c r="E51" i="62" s="1"/>
  <c r="D4" i="61"/>
  <c r="D8" i="61"/>
  <c r="E8" i="61" s="1"/>
  <c r="D12" i="61"/>
  <c r="E12" i="61" s="1"/>
  <c r="D16" i="61"/>
  <c r="E16" i="61" s="1"/>
  <c r="D20" i="61"/>
  <c r="E20" i="61" s="1"/>
  <c r="D24" i="61"/>
  <c r="E24" i="61" s="1"/>
  <c r="D28" i="61"/>
  <c r="E28" i="61" s="1"/>
  <c r="D32" i="61"/>
  <c r="E32" i="61" s="1"/>
  <c r="D36" i="61"/>
  <c r="E36" i="61" s="1"/>
  <c r="D40" i="61"/>
  <c r="E40" i="61" s="1"/>
  <c r="D44" i="61"/>
  <c r="E44" i="61" s="1"/>
  <c r="D48" i="61"/>
  <c r="E48" i="61" s="1"/>
  <c r="D52" i="61"/>
  <c r="E52" i="61" s="1"/>
  <c r="D15" i="61"/>
  <c r="E15" i="61" s="1"/>
  <c r="D5" i="61"/>
  <c r="E5" i="61" s="1"/>
  <c r="D9" i="61"/>
  <c r="E9" i="61" s="1"/>
  <c r="D13" i="61"/>
  <c r="E13" i="61" s="1"/>
  <c r="D17" i="61"/>
  <c r="E17" i="61" s="1"/>
  <c r="D21" i="61"/>
  <c r="E21" i="61" s="1"/>
  <c r="D25" i="61"/>
  <c r="E25" i="61" s="1"/>
  <c r="D29" i="61"/>
  <c r="E29" i="61" s="1"/>
  <c r="D33" i="61"/>
  <c r="E33" i="61" s="1"/>
  <c r="D37" i="61"/>
  <c r="E37" i="61" s="1"/>
  <c r="D41" i="61"/>
  <c r="E41" i="61" s="1"/>
  <c r="D45" i="61"/>
  <c r="E45" i="61" s="1"/>
  <c r="D49" i="61"/>
  <c r="E49" i="61" s="1"/>
  <c r="D53" i="61"/>
  <c r="E53" i="61" s="1"/>
  <c r="D10" i="61"/>
  <c r="E10" i="61" s="1"/>
  <c r="D18" i="61"/>
  <c r="E18" i="61" s="1"/>
  <c r="D26" i="61"/>
  <c r="E26" i="61" s="1"/>
  <c r="D34" i="61"/>
  <c r="E34" i="61" s="1"/>
  <c r="D42" i="61"/>
  <c r="E42" i="61" s="1"/>
  <c r="D50" i="61"/>
  <c r="E50" i="61" s="1"/>
  <c r="D11" i="61"/>
  <c r="E11" i="61" s="1"/>
  <c r="D19" i="61"/>
  <c r="E19" i="61" s="1"/>
  <c r="D23" i="61"/>
  <c r="E23" i="61" s="1"/>
  <c r="D31" i="61"/>
  <c r="E31" i="61" s="1"/>
  <c r="D35" i="61"/>
  <c r="E35" i="61" s="1"/>
  <c r="D43" i="61"/>
  <c r="E43" i="61" s="1"/>
  <c r="D51" i="61"/>
  <c r="E51" i="61" s="1"/>
  <c r="D6" i="61"/>
  <c r="E6" i="61" s="1"/>
  <c r="D14" i="61"/>
  <c r="E14" i="61" s="1"/>
  <c r="D22" i="61"/>
  <c r="E22" i="61" s="1"/>
  <c r="D30" i="61"/>
  <c r="E30" i="61" s="1"/>
  <c r="D38" i="61"/>
  <c r="E38" i="61" s="1"/>
  <c r="D46" i="61"/>
  <c r="E46" i="61" s="1"/>
  <c r="D7" i="61"/>
  <c r="E7" i="61" s="1"/>
  <c r="D27" i="61"/>
  <c r="E27" i="61" s="1"/>
  <c r="D39" i="61"/>
  <c r="E39" i="61" s="1"/>
  <c r="D47" i="61"/>
  <c r="E47" i="61" s="1"/>
  <c r="D3" i="60"/>
  <c r="E3" i="60" s="1"/>
  <c r="D5" i="60"/>
  <c r="E5" i="60" s="1"/>
  <c r="D41" i="60"/>
  <c r="E41" i="60" s="1"/>
  <c r="D53" i="60"/>
  <c r="E53" i="60" s="1"/>
  <c r="D11" i="60"/>
  <c r="E11" i="60" s="1"/>
  <c r="D27" i="60"/>
  <c r="E27" i="60" s="1"/>
  <c r="D43" i="60"/>
  <c r="E43" i="60" s="1"/>
  <c r="D4" i="60"/>
  <c r="D8" i="60"/>
  <c r="E8" i="60" s="1"/>
  <c r="D12" i="60"/>
  <c r="E12" i="60" s="1"/>
  <c r="D16" i="60"/>
  <c r="E16" i="60" s="1"/>
  <c r="D20" i="60"/>
  <c r="E20" i="60" s="1"/>
  <c r="D24" i="60"/>
  <c r="E24" i="60" s="1"/>
  <c r="D28" i="60"/>
  <c r="E28" i="60" s="1"/>
  <c r="D32" i="60"/>
  <c r="E32" i="60" s="1"/>
  <c r="D36" i="60"/>
  <c r="E36" i="60" s="1"/>
  <c r="D40" i="60"/>
  <c r="E40" i="60" s="1"/>
  <c r="D44" i="60"/>
  <c r="E44" i="60" s="1"/>
  <c r="D48" i="60"/>
  <c r="E48" i="60" s="1"/>
  <c r="D52" i="60"/>
  <c r="E52" i="60" s="1"/>
  <c r="D9" i="60"/>
  <c r="E9" i="60" s="1"/>
  <c r="D13" i="60"/>
  <c r="E13" i="60" s="1"/>
  <c r="D17" i="60"/>
  <c r="E17" i="60" s="1"/>
  <c r="D21" i="60"/>
  <c r="E21" i="60" s="1"/>
  <c r="D25" i="60"/>
  <c r="E25" i="60" s="1"/>
  <c r="D29" i="60"/>
  <c r="E29" i="60" s="1"/>
  <c r="D33" i="60"/>
  <c r="E33" i="60" s="1"/>
  <c r="D37" i="60"/>
  <c r="E37" i="60" s="1"/>
  <c r="D45" i="60"/>
  <c r="E45" i="60" s="1"/>
  <c r="D49" i="60"/>
  <c r="E49" i="60" s="1"/>
  <c r="D7" i="60"/>
  <c r="E7" i="60" s="1"/>
  <c r="D23" i="60"/>
  <c r="E23" i="60" s="1"/>
  <c r="D39" i="60"/>
  <c r="E39" i="60" s="1"/>
  <c r="D51" i="60"/>
  <c r="E51" i="60" s="1"/>
  <c r="D6" i="60"/>
  <c r="E6" i="60" s="1"/>
  <c r="D10" i="60"/>
  <c r="E10" i="60" s="1"/>
  <c r="D14" i="60"/>
  <c r="E14" i="60" s="1"/>
  <c r="D18" i="60"/>
  <c r="E18" i="60" s="1"/>
  <c r="D22" i="60"/>
  <c r="E22" i="60" s="1"/>
  <c r="D26" i="60"/>
  <c r="E26" i="60" s="1"/>
  <c r="D30" i="60"/>
  <c r="E30" i="60" s="1"/>
  <c r="D34" i="60"/>
  <c r="E34" i="60" s="1"/>
  <c r="D38" i="60"/>
  <c r="E38" i="60" s="1"/>
  <c r="D42" i="60"/>
  <c r="E42" i="60" s="1"/>
  <c r="D46" i="60"/>
  <c r="E46" i="60" s="1"/>
  <c r="D50" i="60"/>
  <c r="E50" i="60" s="1"/>
  <c r="D15" i="60"/>
  <c r="E15" i="60" s="1"/>
  <c r="D19" i="60"/>
  <c r="E19" i="60" s="1"/>
  <c r="D31" i="60"/>
  <c r="E31" i="60" s="1"/>
  <c r="D35" i="60"/>
  <c r="E35" i="60" s="1"/>
  <c r="D47" i="60"/>
  <c r="E47" i="60" s="1"/>
  <c r="D15" i="59"/>
  <c r="E15" i="59" s="1"/>
  <c r="D4" i="59"/>
  <c r="D8" i="59"/>
  <c r="E8" i="59" s="1"/>
  <c r="D12" i="59"/>
  <c r="E12" i="59" s="1"/>
  <c r="D16" i="59"/>
  <c r="E16" i="59" s="1"/>
  <c r="D20" i="59"/>
  <c r="E20" i="59" s="1"/>
  <c r="D24" i="59"/>
  <c r="E24" i="59" s="1"/>
  <c r="D28" i="59"/>
  <c r="E28" i="59" s="1"/>
  <c r="D32" i="59"/>
  <c r="E32" i="59" s="1"/>
  <c r="D36" i="59"/>
  <c r="E36" i="59" s="1"/>
  <c r="D40" i="59"/>
  <c r="E40" i="59" s="1"/>
  <c r="D44" i="59"/>
  <c r="E44" i="59" s="1"/>
  <c r="D48" i="59"/>
  <c r="E48" i="59" s="1"/>
  <c r="D52" i="59"/>
  <c r="E52" i="59" s="1"/>
  <c r="D5" i="59"/>
  <c r="E5" i="59" s="1"/>
  <c r="D9" i="59"/>
  <c r="E9" i="59" s="1"/>
  <c r="D13" i="59"/>
  <c r="E13" i="59" s="1"/>
  <c r="D17" i="59"/>
  <c r="E17" i="59" s="1"/>
  <c r="D21" i="59"/>
  <c r="E21" i="59" s="1"/>
  <c r="D25" i="59"/>
  <c r="E25" i="59" s="1"/>
  <c r="D29" i="59"/>
  <c r="E29" i="59" s="1"/>
  <c r="D33" i="59"/>
  <c r="E33" i="59" s="1"/>
  <c r="D37" i="59"/>
  <c r="E37" i="59" s="1"/>
  <c r="D41" i="59"/>
  <c r="E41" i="59" s="1"/>
  <c r="D45" i="59"/>
  <c r="E45" i="59" s="1"/>
  <c r="D49" i="59"/>
  <c r="E49" i="59" s="1"/>
  <c r="D53" i="59"/>
  <c r="E53" i="59" s="1"/>
  <c r="D11" i="59"/>
  <c r="E11" i="59" s="1"/>
  <c r="D51" i="59"/>
  <c r="E51" i="59" s="1"/>
  <c r="D6" i="59"/>
  <c r="E6" i="59" s="1"/>
  <c r="D10" i="59"/>
  <c r="E10" i="59" s="1"/>
  <c r="D14" i="59"/>
  <c r="E14" i="59" s="1"/>
  <c r="D18" i="59"/>
  <c r="E18" i="59" s="1"/>
  <c r="D22" i="59"/>
  <c r="E22" i="59" s="1"/>
  <c r="D26" i="59"/>
  <c r="E26" i="59" s="1"/>
  <c r="D30" i="59"/>
  <c r="E30" i="59" s="1"/>
  <c r="D34" i="59"/>
  <c r="E34" i="59" s="1"/>
  <c r="D38" i="59"/>
  <c r="E38" i="59" s="1"/>
  <c r="D42" i="59"/>
  <c r="E42" i="59" s="1"/>
  <c r="D46" i="59"/>
  <c r="E46" i="59" s="1"/>
  <c r="D50" i="59"/>
  <c r="E50" i="59" s="1"/>
  <c r="D7" i="59"/>
  <c r="E7" i="59" s="1"/>
  <c r="D19" i="59"/>
  <c r="E19" i="59" s="1"/>
  <c r="D23" i="59"/>
  <c r="E23" i="59" s="1"/>
  <c r="D27" i="59"/>
  <c r="E27" i="59" s="1"/>
  <c r="D31" i="59"/>
  <c r="E31" i="59" s="1"/>
  <c r="D35" i="59"/>
  <c r="E35" i="59" s="1"/>
  <c r="D39" i="59"/>
  <c r="E39" i="59" s="1"/>
  <c r="D43" i="59"/>
  <c r="E43" i="59" s="1"/>
  <c r="D47" i="59"/>
  <c r="E47" i="59" s="1"/>
  <c r="D3" i="58"/>
  <c r="E3" i="58" s="1"/>
  <c r="D34" i="58"/>
  <c r="E34" i="58" s="1"/>
  <c r="D11" i="58"/>
  <c r="E11" i="58" s="1"/>
  <c r="D31" i="58"/>
  <c r="E31" i="58" s="1"/>
  <c r="D35" i="58"/>
  <c r="E35" i="58" s="1"/>
  <c r="D39" i="58"/>
  <c r="E39" i="58" s="1"/>
  <c r="D43" i="58"/>
  <c r="E43" i="58" s="1"/>
  <c r="D51" i="58"/>
  <c r="E51" i="58" s="1"/>
  <c r="D4" i="58"/>
  <c r="D8" i="58"/>
  <c r="E8" i="58" s="1"/>
  <c r="D12" i="58"/>
  <c r="E12" i="58" s="1"/>
  <c r="D16" i="58"/>
  <c r="E16" i="58" s="1"/>
  <c r="D20" i="58"/>
  <c r="E20" i="58" s="1"/>
  <c r="D24" i="58"/>
  <c r="E24" i="58" s="1"/>
  <c r="D28" i="58"/>
  <c r="E28" i="58" s="1"/>
  <c r="D32" i="58"/>
  <c r="E32" i="58" s="1"/>
  <c r="D36" i="58"/>
  <c r="E36" i="58" s="1"/>
  <c r="D40" i="58"/>
  <c r="E40" i="58" s="1"/>
  <c r="D44" i="58"/>
  <c r="E44" i="58" s="1"/>
  <c r="D48" i="58"/>
  <c r="E48" i="58" s="1"/>
  <c r="D52" i="58"/>
  <c r="E52" i="58" s="1"/>
  <c r="D5" i="58"/>
  <c r="E5" i="58" s="1"/>
  <c r="D9" i="58"/>
  <c r="E9" i="58" s="1"/>
  <c r="D13" i="58"/>
  <c r="E13" i="58" s="1"/>
  <c r="D17" i="58"/>
  <c r="E17" i="58" s="1"/>
  <c r="D21" i="58"/>
  <c r="E21" i="58" s="1"/>
  <c r="D25" i="58"/>
  <c r="E25" i="58" s="1"/>
  <c r="D29" i="58"/>
  <c r="E29" i="58" s="1"/>
  <c r="D33" i="58"/>
  <c r="E33" i="58" s="1"/>
  <c r="D37" i="58"/>
  <c r="E37" i="58" s="1"/>
  <c r="D41" i="58"/>
  <c r="E41" i="58" s="1"/>
  <c r="D45" i="58"/>
  <c r="E45" i="58" s="1"/>
  <c r="D49" i="58"/>
  <c r="E49" i="58" s="1"/>
  <c r="D53" i="58"/>
  <c r="E53" i="58" s="1"/>
  <c r="D6" i="58"/>
  <c r="E6" i="58" s="1"/>
  <c r="D10" i="58"/>
  <c r="E10" i="58" s="1"/>
  <c r="D14" i="58"/>
  <c r="E14" i="58" s="1"/>
  <c r="D18" i="58"/>
  <c r="E18" i="58" s="1"/>
  <c r="D22" i="58"/>
  <c r="E22" i="58" s="1"/>
  <c r="D26" i="58"/>
  <c r="E26" i="58" s="1"/>
  <c r="D30" i="58"/>
  <c r="E30" i="58" s="1"/>
  <c r="D38" i="58"/>
  <c r="E38" i="58" s="1"/>
  <c r="D42" i="58"/>
  <c r="E42" i="58" s="1"/>
  <c r="D46" i="58"/>
  <c r="E46" i="58" s="1"/>
  <c r="D50" i="58"/>
  <c r="E50" i="58" s="1"/>
  <c r="D7" i="58"/>
  <c r="E7" i="58" s="1"/>
  <c r="D15" i="58"/>
  <c r="E15" i="58" s="1"/>
  <c r="D19" i="58"/>
  <c r="E19" i="58" s="1"/>
  <c r="D23" i="58"/>
  <c r="E23" i="58" s="1"/>
  <c r="D27" i="58"/>
  <c r="E27" i="58" s="1"/>
  <c r="D47" i="58"/>
  <c r="E47" i="58" s="1"/>
  <c r="D9" i="57"/>
  <c r="E9" i="57" s="1"/>
  <c r="D29" i="57"/>
  <c r="E29" i="57" s="1"/>
  <c r="D37" i="57"/>
  <c r="E37" i="57" s="1"/>
  <c r="D45" i="57"/>
  <c r="E45" i="57" s="1"/>
  <c r="D49" i="57"/>
  <c r="E49" i="57" s="1"/>
  <c r="D11" i="57"/>
  <c r="E11" i="57" s="1"/>
  <c r="D19" i="57"/>
  <c r="E19" i="57" s="1"/>
  <c r="D27" i="57"/>
  <c r="E27" i="57" s="1"/>
  <c r="D35" i="57"/>
  <c r="E35" i="57" s="1"/>
  <c r="D47" i="57"/>
  <c r="E47" i="57" s="1"/>
  <c r="D4" i="57"/>
  <c r="D8" i="57"/>
  <c r="E8" i="57" s="1"/>
  <c r="D12" i="57"/>
  <c r="E12" i="57" s="1"/>
  <c r="D16" i="57"/>
  <c r="E16" i="57" s="1"/>
  <c r="D20" i="57"/>
  <c r="E20" i="57" s="1"/>
  <c r="D24" i="57"/>
  <c r="E24" i="57" s="1"/>
  <c r="D28" i="57"/>
  <c r="E28" i="57" s="1"/>
  <c r="D32" i="57"/>
  <c r="E32" i="57" s="1"/>
  <c r="D36" i="57"/>
  <c r="E36" i="57" s="1"/>
  <c r="D40" i="57"/>
  <c r="E40" i="57" s="1"/>
  <c r="D44" i="57"/>
  <c r="E44" i="57" s="1"/>
  <c r="D48" i="57"/>
  <c r="E48" i="57" s="1"/>
  <c r="D52" i="57"/>
  <c r="E52" i="57" s="1"/>
  <c r="D5" i="57"/>
  <c r="E5" i="57" s="1"/>
  <c r="D13" i="57"/>
  <c r="E13" i="57" s="1"/>
  <c r="D17" i="57"/>
  <c r="E17" i="57" s="1"/>
  <c r="D21" i="57"/>
  <c r="E21" i="57" s="1"/>
  <c r="D25" i="57"/>
  <c r="E25" i="57" s="1"/>
  <c r="D33" i="57"/>
  <c r="E33" i="57" s="1"/>
  <c r="D41" i="57"/>
  <c r="E41" i="57" s="1"/>
  <c r="D53" i="57"/>
  <c r="E53" i="57" s="1"/>
  <c r="D7" i="57"/>
  <c r="E7" i="57" s="1"/>
  <c r="D23" i="57"/>
  <c r="E23" i="57" s="1"/>
  <c r="D43" i="57"/>
  <c r="E43" i="57" s="1"/>
  <c r="D6" i="57"/>
  <c r="E6" i="57" s="1"/>
  <c r="D10" i="57"/>
  <c r="E10" i="57" s="1"/>
  <c r="D14" i="57"/>
  <c r="E14" i="57" s="1"/>
  <c r="D18" i="57"/>
  <c r="E18" i="57" s="1"/>
  <c r="D22" i="57"/>
  <c r="E22" i="57" s="1"/>
  <c r="D26" i="57"/>
  <c r="E26" i="57" s="1"/>
  <c r="D30" i="57"/>
  <c r="E30" i="57" s="1"/>
  <c r="D34" i="57"/>
  <c r="E34" i="57" s="1"/>
  <c r="D38" i="57"/>
  <c r="E38" i="57" s="1"/>
  <c r="D42" i="57"/>
  <c r="E42" i="57" s="1"/>
  <c r="D46" i="57"/>
  <c r="E46" i="57" s="1"/>
  <c r="D50" i="57"/>
  <c r="E50" i="57" s="1"/>
  <c r="D15" i="57"/>
  <c r="E15" i="57" s="1"/>
  <c r="D31" i="57"/>
  <c r="E31" i="57" s="1"/>
  <c r="D39" i="57"/>
  <c r="E39" i="57" s="1"/>
  <c r="D51" i="57"/>
  <c r="E51" i="57" s="1"/>
  <c r="D3" i="54"/>
  <c r="E3" i="54" s="1"/>
  <c r="D13" i="54"/>
  <c r="E13" i="54" s="1"/>
  <c r="D25" i="54"/>
  <c r="E25" i="54" s="1"/>
  <c r="D33" i="54"/>
  <c r="E33" i="54" s="1"/>
  <c r="D41" i="54"/>
  <c r="E41" i="54" s="1"/>
  <c r="D49" i="54"/>
  <c r="E49" i="54" s="1"/>
  <c r="D15" i="54"/>
  <c r="E15" i="54" s="1"/>
  <c r="D27" i="54"/>
  <c r="E27" i="54" s="1"/>
  <c r="D31" i="54"/>
  <c r="E31" i="54" s="1"/>
  <c r="D35" i="54"/>
  <c r="E35" i="54" s="1"/>
  <c r="D47" i="54"/>
  <c r="E47" i="54" s="1"/>
  <c r="D51" i="54"/>
  <c r="E51" i="54" s="1"/>
  <c r="D4" i="54"/>
  <c r="D8" i="54"/>
  <c r="E8" i="54" s="1"/>
  <c r="D12" i="54"/>
  <c r="E12" i="54" s="1"/>
  <c r="D16" i="54"/>
  <c r="E16" i="54" s="1"/>
  <c r="D20" i="54"/>
  <c r="E20" i="54" s="1"/>
  <c r="D24" i="54"/>
  <c r="E24" i="54" s="1"/>
  <c r="D28" i="54"/>
  <c r="E28" i="54" s="1"/>
  <c r="D32" i="54"/>
  <c r="E32" i="54" s="1"/>
  <c r="D36" i="54"/>
  <c r="E36" i="54" s="1"/>
  <c r="D40" i="54"/>
  <c r="E40" i="54" s="1"/>
  <c r="D44" i="54"/>
  <c r="E44" i="54" s="1"/>
  <c r="D48" i="54"/>
  <c r="E48" i="54" s="1"/>
  <c r="D52" i="54"/>
  <c r="E52" i="54" s="1"/>
  <c r="D9" i="54"/>
  <c r="E9" i="54" s="1"/>
  <c r="D17" i="54"/>
  <c r="E17" i="54" s="1"/>
  <c r="D21" i="54"/>
  <c r="E21" i="54" s="1"/>
  <c r="D29" i="54"/>
  <c r="E29" i="54" s="1"/>
  <c r="D37" i="54"/>
  <c r="E37" i="54" s="1"/>
  <c r="D45" i="54"/>
  <c r="E45" i="54" s="1"/>
  <c r="D53" i="54"/>
  <c r="E53" i="54" s="1"/>
  <c r="D19" i="54"/>
  <c r="E19" i="54" s="1"/>
  <c r="D5" i="54"/>
  <c r="E5" i="54" s="1"/>
  <c r="D11" i="54"/>
  <c r="E11" i="54" s="1"/>
  <c r="D39" i="54"/>
  <c r="E39" i="54" s="1"/>
  <c r="D6" i="54"/>
  <c r="E6" i="54" s="1"/>
  <c r="D10" i="54"/>
  <c r="E10" i="54" s="1"/>
  <c r="D14" i="54"/>
  <c r="E14" i="54" s="1"/>
  <c r="D18" i="54"/>
  <c r="E18" i="54" s="1"/>
  <c r="D22" i="54"/>
  <c r="E22" i="54" s="1"/>
  <c r="D26" i="54"/>
  <c r="E26" i="54" s="1"/>
  <c r="D30" i="54"/>
  <c r="E30" i="54" s="1"/>
  <c r="D34" i="54"/>
  <c r="E34" i="54" s="1"/>
  <c r="D38" i="54"/>
  <c r="E38" i="54" s="1"/>
  <c r="D42" i="54"/>
  <c r="E42" i="54" s="1"/>
  <c r="D46" i="54"/>
  <c r="E46" i="54" s="1"/>
  <c r="D50" i="54"/>
  <c r="E50" i="54" s="1"/>
  <c r="D7" i="54"/>
  <c r="E7" i="54" s="1"/>
  <c r="D23" i="54"/>
  <c r="E23" i="54" s="1"/>
  <c r="D43" i="54"/>
  <c r="E43" i="54" s="1"/>
  <c r="D3" i="53"/>
  <c r="E3" i="53" s="1"/>
  <c r="D9" i="53"/>
  <c r="E9" i="53" s="1"/>
  <c r="D29" i="53"/>
  <c r="E29" i="53" s="1"/>
  <c r="D41" i="53"/>
  <c r="E41" i="53" s="1"/>
  <c r="D49" i="53"/>
  <c r="E49" i="53" s="1"/>
  <c r="D11" i="53"/>
  <c r="E11" i="53" s="1"/>
  <c r="D4" i="53"/>
  <c r="D8" i="53"/>
  <c r="E8" i="53" s="1"/>
  <c r="D12" i="53"/>
  <c r="E12" i="53" s="1"/>
  <c r="D16" i="53"/>
  <c r="E16" i="53" s="1"/>
  <c r="D20" i="53"/>
  <c r="E20" i="53" s="1"/>
  <c r="D24" i="53"/>
  <c r="E24" i="53" s="1"/>
  <c r="D28" i="53"/>
  <c r="E28" i="53" s="1"/>
  <c r="D32" i="53"/>
  <c r="E32" i="53" s="1"/>
  <c r="D36" i="53"/>
  <c r="E36" i="53" s="1"/>
  <c r="D40" i="53"/>
  <c r="E40" i="53" s="1"/>
  <c r="D44" i="53"/>
  <c r="E44" i="53" s="1"/>
  <c r="D48" i="53"/>
  <c r="E48" i="53" s="1"/>
  <c r="D52" i="53"/>
  <c r="E52" i="53" s="1"/>
  <c r="D5" i="53"/>
  <c r="E5" i="53" s="1"/>
  <c r="D13" i="53"/>
  <c r="E13" i="53" s="1"/>
  <c r="D17" i="53"/>
  <c r="E17" i="53" s="1"/>
  <c r="D21" i="53"/>
  <c r="E21" i="53" s="1"/>
  <c r="D25" i="53"/>
  <c r="E25" i="53" s="1"/>
  <c r="D33" i="53"/>
  <c r="E33" i="53" s="1"/>
  <c r="D37" i="53"/>
  <c r="E37" i="53" s="1"/>
  <c r="D45" i="53"/>
  <c r="E45" i="53" s="1"/>
  <c r="D53" i="53"/>
  <c r="E53" i="53" s="1"/>
  <c r="D15" i="53"/>
  <c r="E15" i="53" s="1"/>
  <c r="D47" i="53"/>
  <c r="E47" i="53" s="1"/>
  <c r="D6" i="53"/>
  <c r="E6" i="53" s="1"/>
  <c r="D10" i="53"/>
  <c r="E10" i="53" s="1"/>
  <c r="D14" i="53"/>
  <c r="E14" i="53" s="1"/>
  <c r="D18" i="53"/>
  <c r="E18" i="53" s="1"/>
  <c r="D22" i="53"/>
  <c r="E22" i="53" s="1"/>
  <c r="D26" i="53"/>
  <c r="E26" i="53" s="1"/>
  <c r="D30" i="53"/>
  <c r="E30" i="53" s="1"/>
  <c r="D34" i="53"/>
  <c r="E34" i="53" s="1"/>
  <c r="D38" i="53"/>
  <c r="E38" i="53" s="1"/>
  <c r="D42" i="53"/>
  <c r="E42" i="53" s="1"/>
  <c r="D46" i="53"/>
  <c r="E46" i="53" s="1"/>
  <c r="D50" i="53"/>
  <c r="E50" i="53" s="1"/>
  <c r="D7" i="53"/>
  <c r="E7" i="53" s="1"/>
  <c r="D19" i="53"/>
  <c r="E19" i="53" s="1"/>
  <c r="D23" i="53"/>
  <c r="E23" i="53" s="1"/>
  <c r="D27" i="53"/>
  <c r="E27" i="53" s="1"/>
  <c r="D31" i="53"/>
  <c r="E31" i="53" s="1"/>
  <c r="D35" i="53"/>
  <c r="E35" i="53" s="1"/>
  <c r="D39" i="53"/>
  <c r="E39" i="53" s="1"/>
  <c r="D43" i="53"/>
  <c r="E43" i="53" s="1"/>
  <c r="D51" i="53"/>
  <c r="E51" i="53" s="1"/>
  <c r="D3" i="52"/>
  <c r="E3" i="52" s="1"/>
  <c r="D11" i="52"/>
  <c r="E11" i="52" s="1"/>
  <c r="D27" i="52"/>
  <c r="E27" i="52" s="1"/>
  <c r="D43" i="52"/>
  <c r="E43" i="52" s="1"/>
  <c r="D51" i="52"/>
  <c r="E51" i="52" s="1"/>
  <c r="D4" i="52"/>
  <c r="D8" i="52"/>
  <c r="E8" i="52" s="1"/>
  <c r="D12" i="52"/>
  <c r="E12" i="52" s="1"/>
  <c r="D16" i="52"/>
  <c r="E16" i="52" s="1"/>
  <c r="D20" i="52"/>
  <c r="E20" i="52" s="1"/>
  <c r="D24" i="52"/>
  <c r="E24" i="52" s="1"/>
  <c r="D28" i="52"/>
  <c r="E28" i="52" s="1"/>
  <c r="D32" i="52"/>
  <c r="E32" i="52" s="1"/>
  <c r="D36" i="52"/>
  <c r="E36" i="52" s="1"/>
  <c r="D40" i="52"/>
  <c r="E40" i="52" s="1"/>
  <c r="D44" i="52"/>
  <c r="E44" i="52" s="1"/>
  <c r="D48" i="52"/>
  <c r="E48" i="52" s="1"/>
  <c r="D52" i="52"/>
  <c r="E52" i="52" s="1"/>
  <c r="D7" i="52"/>
  <c r="E7" i="52" s="1"/>
  <c r="D35" i="52"/>
  <c r="E35" i="52" s="1"/>
  <c r="D5" i="52"/>
  <c r="E5" i="52" s="1"/>
  <c r="D9" i="52"/>
  <c r="E9" i="52" s="1"/>
  <c r="D13" i="52"/>
  <c r="E13" i="52" s="1"/>
  <c r="D17" i="52"/>
  <c r="E17" i="52" s="1"/>
  <c r="D21" i="52"/>
  <c r="E21" i="52" s="1"/>
  <c r="D25" i="52"/>
  <c r="E25" i="52" s="1"/>
  <c r="D29" i="52"/>
  <c r="E29" i="52" s="1"/>
  <c r="D33" i="52"/>
  <c r="E33" i="52" s="1"/>
  <c r="D37" i="52"/>
  <c r="E37" i="52" s="1"/>
  <c r="D41" i="52"/>
  <c r="E41" i="52" s="1"/>
  <c r="D45" i="52"/>
  <c r="E45" i="52" s="1"/>
  <c r="D49" i="52"/>
  <c r="E49" i="52" s="1"/>
  <c r="D53" i="52"/>
  <c r="E53" i="52" s="1"/>
  <c r="D14" i="52"/>
  <c r="E14" i="52" s="1"/>
  <c r="D19" i="52"/>
  <c r="E19" i="52" s="1"/>
  <c r="D39" i="52"/>
  <c r="E39" i="52" s="1"/>
  <c r="D6" i="52"/>
  <c r="E6" i="52" s="1"/>
  <c r="D10" i="52"/>
  <c r="E10" i="52" s="1"/>
  <c r="D18" i="52"/>
  <c r="E18" i="52" s="1"/>
  <c r="D22" i="52"/>
  <c r="E22" i="52" s="1"/>
  <c r="D26" i="52"/>
  <c r="E26" i="52" s="1"/>
  <c r="D30" i="52"/>
  <c r="E30" i="52" s="1"/>
  <c r="D34" i="52"/>
  <c r="E34" i="52" s="1"/>
  <c r="D38" i="52"/>
  <c r="E38" i="52" s="1"/>
  <c r="D42" i="52"/>
  <c r="E42" i="52" s="1"/>
  <c r="D46" i="52"/>
  <c r="E46" i="52" s="1"/>
  <c r="D50" i="52"/>
  <c r="E50" i="52" s="1"/>
  <c r="D15" i="52"/>
  <c r="E15" i="52" s="1"/>
  <c r="D23" i="52"/>
  <c r="E23" i="52" s="1"/>
  <c r="D31" i="52"/>
  <c r="E31" i="52" s="1"/>
  <c r="D47" i="52"/>
  <c r="E47" i="52" s="1"/>
  <c r="D3" i="63"/>
  <c r="E3" i="63" s="1"/>
  <c r="D3" i="61"/>
  <c r="E3" i="61" s="1"/>
  <c r="D3" i="59"/>
  <c r="E3" i="59" s="1"/>
  <c r="D3" i="57"/>
  <c r="E3" i="57" s="1"/>
  <c r="D3" i="45"/>
  <c r="E3" i="45" s="1"/>
  <c r="D14" i="45"/>
  <c r="E14" i="45" s="1"/>
  <c r="D30" i="45"/>
  <c r="E30" i="45" s="1"/>
  <c r="D50" i="45"/>
  <c r="E50" i="45" s="1"/>
  <c r="D11" i="45"/>
  <c r="E11" i="45" s="1"/>
  <c r="D31" i="45"/>
  <c r="E31" i="45" s="1"/>
  <c r="D47" i="45"/>
  <c r="E47" i="45" s="1"/>
  <c r="D4" i="45"/>
  <c r="D8" i="45"/>
  <c r="E8" i="45" s="1"/>
  <c r="D12" i="45"/>
  <c r="E12" i="45" s="1"/>
  <c r="D16" i="45"/>
  <c r="E16" i="45" s="1"/>
  <c r="D20" i="45"/>
  <c r="E20" i="45" s="1"/>
  <c r="D24" i="45"/>
  <c r="E24" i="45" s="1"/>
  <c r="D28" i="45"/>
  <c r="E28" i="45" s="1"/>
  <c r="D32" i="45"/>
  <c r="E32" i="45" s="1"/>
  <c r="D36" i="45"/>
  <c r="E36" i="45" s="1"/>
  <c r="D40" i="45"/>
  <c r="E40" i="45" s="1"/>
  <c r="D44" i="45"/>
  <c r="E44" i="45" s="1"/>
  <c r="D48" i="45"/>
  <c r="E48" i="45" s="1"/>
  <c r="D52" i="45"/>
  <c r="E52" i="45" s="1"/>
  <c r="D6" i="45"/>
  <c r="E6" i="45" s="1"/>
  <c r="D18" i="45"/>
  <c r="E18" i="45" s="1"/>
  <c r="D22" i="45"/>
  <c r="E22" i="45" s="1"/>
  <c r="D34" i="45"/>
  <c r="E34" i="45" s="1"/>
  <c r="D38" i="45"/>
  <c r="E38" i="45" s="1"/>
  <c r="D46" i="45"/>
  <c r="E46" i="45" s="1"/>
  <c r="D15" i="45"/>
  <c r="E15" i="45" s="1"/>
  <c r="D23" i="45"/>
  <c r="E23" i="45" s="1"/>
  <c r="D35" i="45"/>
  <c r="E35" i="45" s="1"/>
  <c r="D43" i="45"/>
  <c r="E43" i="45" s="1"/>
  <c r="D51" i="45"/>
  <c r="E51" i="45" s="1"/>
  <c r="D5" i="45"/>
  <c r="E5" i="45" s="1"/>
  <c r="D9" i="45"/>
  <c r="E9" i="45" s="1"/>
  <c r="D13" i="45"/>
  <c r="E13" i="45" s="1"/>
  <c r="D17" i="45"/>
  <c r="E17" i="45" s="1"/>
  <c r="D21" i="45"/>
  <c r="E21" i="45" s="1"/>
  <c r="D25" i="45"/>
  <c r="E25" i="45" s="1"/>
  <c r="D29" i="45"/>
  <c r="E29" i="45" s="1"/>
  <c r="D33" i="45"/>
  <c r="E33" i="45" s="1"/>
  <c r="D37" i="45"/>
  <c r="E37" i="45" s="1"/>
  <c r="D41" i="45"/>
  <c r="E41" i="45" s="1"/>
  <c r="D45" i="45"/>
  <c r="E45" i="45" s="1"/>
  <c r="D49" i="45"/>
  <c r="E49" i="45" s="1"/>
  <c r="D53" i="45"/>
  <c r="E53" i="45" s="1"/>
  <c r="D10" i="45"/>
  <c r="E10" i="45" s="1"/>
  <c r="D26" i="45"/>
  <c r="E26" i="45" s="1"/>
  <c r="D42" i="45"/>
  <c r="E42" i="45" s="1"/>
  <c r="D7" i="45"/>
  <c r="E7" i="45" s="1"/>
  <c r="D19" i="45"/>
  <c r="E19" i="45" s="1"/>
  <c r="D27" i="45"/>
  <c r="E27" i="45" s="1"/>
  <c r="D39" i="45"/>
  <c r="E39" i="45" s="1"/>
  <c r="D3" i="46"/>
  <c r="E3" i="46" s="1"/>
  <c r="D4" i="46"/>
  <c r="D8" i="46"/>
  <c r="E8" i="46" s="1"/>
  <c r="D12" i="46"/>
  <c r="E12" i="46" s="1"/>
  <c r="D16" i="46"/>
  <c r="E16" i="46" s="1"/>
  <c r="D20" i="46"/>
  <c r="E20" i="46" s="1"/>
  <c r="D24" i="46"/>
  <c r="E24" i="46" s="1"/>
  <c r="D28" i="46"/>
  <c r="E28" i="46" s="1"/>
  <c r="D32" i="46"/>
  <c r="E32" i="46" s="1"/>
  <c r="D36" i="46"/>
  <c r="E36" i="46" s="1"/>
  <c r="D40" i="46"/>
  <c r="E40" i="46" s="1"/>
  <c r="D44" i="46"/>
  <c r="E44" i="46" s="1"/>
  <c r="D48" i="46"/>
  <c r="E48" i="46" s="1"/>
  <c r="D52" i="46"/>
  <c r="E52" i="46" s="1"/>
  <c r="D10" i="46"/>
  <c r="E10" i="46" s="1"/>
  <c r="D26" i="46"/>
  <c r="E26" i="46" s="1"/>
  <c r="D38" i="46"/>
  <c r="E38" i="46" s="1"/>
  <c r="D46" i="46"/>
  <c r="E46" i="46" s="1"/>
  <c r="D11" i="46"/>
  <c r="E11" i="46" s="1"/>
  <c r="D23" i="46"/>
  <c r="E23" i="46" s="1"/>
  <c r="D31" i="46"/>
  <c r="E31" i="46" s="1"/>
  <c r="D39" i="46"/>
  <c r="E39" i="46" s="1"/>
  <c r="D47" i="46"/>
  <c r="E47" i="46" s="1"/>
  <c r="D5" i="46"/>
  <c r="E5" i="46" s="1"/>
  <c r="D9" i="46"/>
  <c r="E9" i="46" s="1"/>
  <c r="D13" i="46"/>
  <c r="E13" i="46" s="1"/>
  <c r="D17" i="46"/>
  <c r="E17" i="46" s="1"/>
  <c r="D21" i="46"/>
  <c r="E21" i="46" s="1"/>
  <c r="D25" i="46"/>
  <c r="E25" i="46" s="1"/>
  <c r="D29" i="46"/>
  <c r="E29" i="46" s="1"/>
  <c r="D33" i="46"/>
  <c r="E33" i="46" s="1"/>
  <c r="D37" i="46"/>
  <c r="E37" i="46" s="1"/>
  <c r="D41" i="46"/>
  <c r="E41" i="46" s="1"/>
  <c r="D45" i="46"/>
  <c r="E45" i="46" s="1"/>
  <c r="D49" i="46"/>
  <c r="E49" i="46" s="1"/>
  <c r="D53" i="46"/>
  <c r="E53" i="46" s="1"/>
  <c r="D6" i="46"/>
  <c r="E6" i="46" s="1"/>
  <c r="D14" i="46"/>
  <c r="E14" i="46" s="1"/>
  <c r="D18" i="46"/>
  <c r="E18" i="46" s="1"/>
  <c r="D22" i="46"/>
  <c r="E22" i="46" s="1"/>
  <c r="D30" i="46"/>
  <c r="E30" i="46" s="1"/>
  <c r="D34" i="46"/>
  <c r="E34" i="46" s="1"/>
  <c r="D42" i="46"/>
  <c r="E42" i="46" s="1"/>
  <c r="D50" i="46"/>
  <c r="E50" i="46" s="1"/>
  <c r="D7" i="46"/>
  <c r="E7" i="46" s="1"/>
  <c r="D15" i="46"/>
  <c r="E15" i="46" s="1"/>
  <c r="D19" i="46"/>
  <c r="E19" i="46" s="1"/>
  <c r="D27" i="46"/>
  <c r="E27" i="46" s="1"/>
  <c r="D35" i="46"/>
  <c r="E35" i="46" s="1"/>
  <c r="D43" i="46"/>
  <c r="E43" i="46" s="1"/>
  <c r="D51" i="46"/>
  <c r="E51" i="46" s="1"/>
  <c r="D3" i="47"/>
  <c r="E3" i="47" s="1"/>
  <c r="D10" i="47"/>
  <c r="E10" i="47" s="1"/>
  <c r="D38" i="47"/>
  <c r="E38" i="47" s="1"/>
  <c r="D11" i="47"/>
  <c r="E11" i="47" s="1"/>
  <c r="D27" i="47"/>
  <c r="E27" i="47" s="1"/>
  <c r="D39" i="47"/>
  <c r="E39" i="47" s="1"/>
  <c r="D51" i="47"/>
  <c r="E51" i="47" s="1"/>
  <c r="D4" i="47"/>
  <c r="D8" i="47"/>
  <c r="E8" i="47" s="1"/>
  <c r="D12" i="47"/>
  <c r="E12" i="47" s="1"/>
  <c r="D16" i="47"/>
  <c r="E16" i="47" s="1"/>
  <c r="D20" i="47"/>
  <c r="E20" i="47" s="1"/>
  <c r="D24" i="47"/>
  <c r="E24" i="47" s="1"/>
  <c r="D28" i="47"/>
  <c r="E28" i="47" s="1"/>
  <c r="D32" i="47"/>
  <c r="E32" i="47" s="1"/>
  <c r="D36" i="47"/>
  <c r="E36" i="47" s="1"/>
  <c r="D40" i="47"/>
  <c r="E40" i="47" s="1"/>
  <c r="D44" i="47"/>
  <c r="E44" i="47" s="1"/>
  <c r="D48" i="47"/>
  <c r="E48" i="47" s="1"/>
  <c r="D52" i="47"/>
  <c r="E52" i="47" s="1"/>
  <c r="D6" i="47"/>
  <c r="E6" i="47" s="1"/>
  <c r="D18" i="47"/>
  <c r="E18" i="47" s="1"/>
  <c r="D22" i="47"/>
  <c r="E22" i="47" s="1"/>
  <c r="D26" i="47"/>
  <c r="E26" i="47" s="1"/>
  <c r="D30" i="47"/>
  <c r="E30" i="47" s="1"/>
  <c r="D42" i="47"/>
  <c r="E42" i="47" s="1"/>
  <c r="D50" i="47"/>
  <c r="E50" i="47" s="1"/>
  <c r="D7" i="47"/>
  <c r="E7" i="47" s="1"/>
  <c r="D35" i="47"/>
  <c r="E35" i="47" s="1"/>
  <c r="D47" i="47"/>
  <c r="E47" i="47" s="1"/>
  <c r="D5" i="47"/>
  <c r="E5" i="47" s="1"/>
  <c r="D9" i="47"/>
  <c r="E9" i="47" s="1"/>
  <c r="D13" i="47"/>
  <c r="E13" i="47" s="1"/>
  <c r="D17" i="47"/>
  <c r="E17" i="47" s="1"/>
  <c r="D21" i="47"/>
  <c r="E21" i="47" s="1"/>
  <c r="D25" i="47"/>
  <c r="E25" i="47" s="1"/>
  <c r="D29" i="47"/>
  <c r="E29" i="47" s="1"/>
  <c r="D33" i="47"/>
  <c r="E33" i="47" s="1"/>
  <c r="D37" i="47"/>
  <c r="E37" i="47" s="1"/>
  <c r="D41" i="47"/>
  <c r="E41" i="47" s="1"/>
  <c r="D45" i="47"/>
  <c r="E45" i="47" s="1"/>
  <c r="D49" i="47"/>
  <c r="E49" i="47" s="1"/>
  <c r="D53" i="47"/>
  <c r="E53" i="47" s="1"/>
  <c r="D14" i="47"/>
  <c r="E14" i="47" s="1"/>
  <c r="D34" i="47"/>
  <c r="E34" i="47" s="1"/>
  <c r="D46" i="47"/>
  <c r="E46" i="47" s="1"/>
  <c r="D15" i="47"/>
  <c r="E15" i="47" s="1"/>
  <c r="D19" i="47"/>
  <c r="E19" i="47" s="1"/>
  <c r="D23" i="47"/>
  <c r="E23" i="47" s="1"/>
  <c r="D31" i="47"/>
  <c r="E31" i="47" s="1"/>
  <c r="D43" i="47"/>
  <c r="E43" i="47" s="1"/>
  <c r="D3" i="48"/>
  <c r="E3" i="48" s="1"/>
  <c r="D4" i="48"/>
  <c r="D8" i="48"/>
  <c r="E8" i="48" s="1"/>
  <c r="D12" i="48"/>
  <c r="E12" i="48" s="1"/>
  <c r="D16" i="48"/>
  <c r="E16" i="48" s="1"/>
  <c r="D20" i="48"/>
  <c r="E20" i="48" s="1"/>
  <c r="D24" i="48"/>
  <c r="E24" i="48" s="1"/>
  <c r="D28" i="48"/>
  <c r="E28" i="48" s="1"/>
  <c r="D32" i="48"/>
  <c r="E32" i="48" s="1"/>
  <c r="D36" i="48"/>
  <c r="E36" i="48" s="1"/>
  <c r="D40" i="48"/>
  <c r="E40" i="48" s="1"/>
  <c r="D44" i="48"/>
  <c r="E44" i="48" s="1"/>
  <c r="D48" i="48"/>
  <c r="E48" i="48" s="1"/>
  <c r="D52" i="48"/>
  <c r="E52" i="48" s="1"/>
  <c r="D7" i="48"/>
  <c r="E7" i="48" s="1"/>
  <c r="D39" i="48"/>
  <c r="E39" i="48" s="1"/>
  <c r="D5" i="48"/>
  <c r="E5" i="48" s="1"/>
  <c r="D9" i="48"/>
  <c r="E9" i="48" s="1"/>
  <c r="D13" i="48"/>
  <c r="E13" i="48" s="1"/>
  <c r="D17" i="48"/>
  <c r="E17" i="48" s="1"/>
  <c r="D21" i="48"/>
  <c r="E21" i="48" s="1"/>
  <c r="D25" i="48"/>
  <c r="E25" i="48" s="1"/>
  <c r="D29" i="48"/>
  <c r="E29" i="48" s="1"/>
  <c r="D33" i="48"/>
  <c r="E33" i="48" s="1"/>
  <c r="D37" i="48"/>
  <c r="E37" i="48" s="1"/>
  <c r="D41" i="48"/>
  <c r="E41" i="48" s="1"/>
  <c r="D45" i="48"/>
  <c r="E45" i="48" s="1"/>
  <c r="D49" i="48"/>
  <c r="E49" i="48" s="1"/>
  <c r="D53" i="48"/>
  <c r="E53" i="48" s="1"/>
  <c r="D10" i="48"/>
  <c r="E10" i="48" s="1"/>
  <c r="D18" i="48"/>
  <c r="E18" i="48" s="1"/>
  <c r="D26" i="48"/>
  <c r="E26" i="48" s="1"/>
  <c r="D34" i="48"/>
  <c r="E34" i="48" s="1"/>
  <c r="D42" i="48"/>
  <c r="E42" i="48" s="1"/>
  <c r="D50" i="48"/>
  <c r="E50" i="48" s="1"/>
  <c r="D11" i="48"/>
  <c r="E11" i="48" s="1"/>
  <c r="D23" i="48"/>
  <c r="E23" i="48" s="1"/>
  <c r="D31" i="48"/>
  <c r="E31" i="48" s="1"/>
  <c r="D43" i="48"/>
  <c r="E43" i="48" s="1"/>
  <c r="D51" i="48"/>
  <c r="E51" i="48" s="1"/>
  <c r="D6" i="48"/>
  <c r="E6" i="48" s="1"/>
  <c r="D14" i="48"/>
  <c r="E14" i="48" s="1"/>
  <c r="D22" i="48"/>
  <c r="E22" i="48" s="1"/>
  <c r="D30" i="48"/>
  <c r="E30" i="48" s="1"/>
  <c r="D38" i="48"/>
  <c r="E38" i="48" s="1"/>
  <c r="D46" i="48"/>
  <c r="E46" i="48" s="1"/>
  <c r="D15" i="48"/>
  <c r="E15" i="48" s="1"/>
  <c r="D19" i="48"/>
  <c r="E19" i="48" s="1"/>
  <c r="D27" i="48"/>
  <c r="E27" i="48" s="1"/>
  <c r="D35" i="48"/>
  <c r="E35" i="48" s="1"/>
  <c r="D47" i="48"/>
  <c r="E47" i="48" s="1"/>
  <c r="D3" i="10"/>
  <c r="E3" i="10" s="1"/>
  <c r="D4" i="10"/>
  <c r="D8" i="10"/>
  <c r="E8" i="10" s="1"/>
  <c r="D12" i="10"/>
  <c r="E12" i="10" s="1"/>
  <c r="D16" i="10"/>
  <c r="E16" i="10" s="1"/>
  <c r="D20" i="10"/>
  <c r="E20" i="10" s="1"/>
  <c r="D24" i="10"/>
  <c r="E24" i="10" s="1"/>
  <c r="D28" i="10"/>
  <c r="E28" i="10" s="1"/>
  <c r="D32" i="10"/>
  <c r="E32" i="10" s="1"/>
  <c r="D36" i="10"/>
  <c r="E36" i="10" s="1"/>
  <c r="D40" i="10"/>
  <c r="E40" i="10" s="1"/>
  <c r="D44" i="10"/>
  <c r="E44" i="10" s="1"/>
  <c r="D48" i="10"/>
  <c r="E48" i="10" s="1"/>
  <c r="D52" i="10"/>
  <c r="E52" i="10" s="1"/>
  <c r="D5" i="10"/>
  <c r="E5" i="10" s="1"/>
  <c r="D9" i="10"/>
  <c r="E9" i="10" s="1"/>
  <c r="D13" i="10"/>
  <c r="E13" i="10" s="1"/>
  <c r="D17" i="10"/>
  <c r="E17" i="10" s="1"/>
  <c r="D21" i="10"/>
  <c r="E21" i="10" s="1"/>
  <c r="D25" i="10"/>
  <c r="E25" i="10" s="1"/>
  <c r="D29" i="10"/>
  <c r="E29" i="10" s="1"/>
  <c r="D33" i="10"/>
  <c r="E33" i="10" s="1"/>
  <c r="D37" i="10"/>
  <c r="E37" i="10" s="1"/>
  <c r="D41" i="10"/>
  <c r="E41" i="10" s="1"/>
  <c r="D45" i="10"/>
  <c r="E45" i="10" s="1"/>
  <c r="D49" i="10"/>
  <c r="E49" i="10" s="1"/>
  <c r="D53" i="10"/>
  <c r="E53" i="10" s="1"/>
  <c r="D6" i="10"/>
  <c r="E6" i="10" s="1"/>
  <c r="D10" i="10"/>
  <c r="E10" i="10" s="1"/>
  <c r="D14" i="10"/>
  <c r="E14" i="10" s="1"/>
  <c r="D18" i="10"/>
  <c r="E18" i="10" s="1"/>
  <c r="D22" i="10"/>
  <c r="E22" i="10" s="1"/>
  <c r="D26" i="10"/>
  <c r="E26" i="10" s="1"/>
  <c r="D30" i="10"/>
  <c r="E30" i="10" s="1"/>
  <c r="D34" i="10"/>
  <c r="E34" i="10" s="1"/>
  <c r="D38" i="10"/>
  <c r="E38" i="10" s="1"/>
  <c r="D42" i="10"/>
  <c r="E42" i="10" s="1"/>
  <c r="D46" i="10"/>
  <c r="E46" i="10" s="1"/>
  <c r="D50" i="10"/>
  <c r="E50" i="10" s="1"/>
  <c r="D7" i="10"/>
  <c r="E7" i="10" s="1"/>
  <c r="D11" i="10"/>
  <c r="E11" i="10" s="1"/>
  <c r="D15" i="10"/>
  <c r="E15" i="10" s="1"/>
  <c r="D19" i="10"/>
  <c r="E19" i="10" s="1"/>
  <c r="D23" i="10"/>
  <c r="E23" i="10" s="1"/>
  <c r="D27" i="10"/>
  <c r="E27" i="10" s="1"/>
  <c r="D31" i="10"/>
  <c r="E31" i="10" s="1"/>
  <c r="D35" i="10"/>
  <c r="E35" i="10" s="1"/>
  <c r="D39" i="10"/>
  <c r="E39" i="10" s="1"/>
  <c r="D43" i="10"/>
  <c r="E43" i="10" s="1"/>
  <c r="D47" i="10"/>
  <c r="E47" i="10" s="1"/>
  <c r="D51" i="10"/>
  <c r="E51" i="10" s="1"/>
  <c r="I6" i="11"/>
  <c r="I108" i="11" s="1"/>
  <c r="AZ13" i="7"/>
  <c r="BA13" i="7" s="1"/>
  <c r="C1" i="28" s="1"/>
  <c r="F42" i="36"/>
  <c r="G42" i="36" s="1"/>
  <c r="H42" i="36" s="1"/>
  <c r="AC44" i="11" s="1"/>
  <c r="F48" i="36"/>
  <c r="G48" i="36" s="1"/>
  <c r="H48" i="36" s="1"/>
  <c r="AC50" i="11" s="1"/>
  <c r="D2" i="38"/>
  <c r="D2" i="40"/>
  <c r="F38" i="36"/>
  <c r="G38" i="36" s="1"/>
  <c r="H38" i="36" s="1"/>
  <c r="AC40" i="11" s="1"/>
  <c r="F18" i="36"/>
  <c r="G18" i="36" s="1"/>
  <c r="H18" i="36" s="1"/>
  <c r="AC20" i="11" s="1"/>
  <c r="F40" i="36"/>
  <c r="G40" i="36" s="1"/>
  <c r="H40" i="36" s="1"/>
  <c r="AC42" i="11" s="1"/>
  <c r="F32" i="36"/>
  <c r="G32" i="36" s="1"/>
  <c r="H32" i="36" s="1"/>
  <c r="AC34" i="11" s="1"/>
  <c r="F25" i="36"/>
  <c r="G25" i="36" s="1"/>
  <c r="H25" i="36" s="1"/>
  <c r="AC27" i="11" s="1"/>
  <c r="F16" i="36"/>
  <c r="G16" i="36" s="1"/>
  <c r="H16" i="36" s="1"/>
  <c r="AC18" i="11" s="1"/>
  <c r="F29" i="36"/>
  <c r="G29" i="36" s="1"/>
  <c r="H29" i="36" s="1"/>
  <c r="AC31" i="11" s="1"/>
  <c r="F8" i="36"/>
  <c r="G8" i="36" s="1"/>
  <c r="H8" i="36" s="1"/>
  <c r="AC10" i="11" s="1"/>
  <c r="F41" i="36"/>
  <c r="G41" i="36" s="1"/>
  <c r="H41" i="36" s="1"/>
  <c r="AC43" i="11" s="1"/>
  <c r="F45" i="36"/>
  <c r="G45" i="36" s="1"/>
  <c r="H45" i="36" s="1"/>
  <c r="AC47" i="11" s="1"/>
  <c r="F22" i="36"/>
  <c r="G22" i="36" s="1"/>
  <c r="H22" i="36" s="1"/>
  <c r="AC24" i="11" s="1"/>
  <c r="F28" i="36"/>
  <c r="G28" i="36" s="1"/>
  <c r="H28" i="36" s="1"/>
  <c r="AC30" i="11" s="1"/>
  <c r="F52" i="36"/>
  <c r="G52" i="36" s="1"/>
  <c r="H52" i="36" s="1"/>
  <c r="AC54" i="11" s="1"/>
  <c r="F51" i="36"/>
  <c r="G51" i="36" s="1"/>
  <c r="H51" i="36" s="1"/>
  <c r="AC53" i="11" s="1"/>
  <c r="F44" i="36"/>
  <c r="G44" i="36" s="1"/>
  <c r="H44" i="36" s="1"/>
  <c r="AC46" i="11" s="1"/>
  <c r="F35" i="36"/>
  <c r="G35" i="36" s="1"/>
  <c r="H35" i="36" s="1"/>
  <c r="AC37" i="11" s="1"/>
  <c r="F49" i="36"/>
  <c r="G49" i="36" s="1"/>
  <c r="H49" i="36" s="1"/>
  <c r="AC51" i="11" s="1"/>
  <c r="F10" i="36"/>
  <c r="G10" i="36" s="1"/>
  <c r="H10" i="36" s="1"/>
  <c r="AC12" i="11" s="1"/>
  <c r="F53" i="36"/>
  <c r="G53" i="36" s="1"/>
  <c r="H53" i="36" s="1"/>
  <c r="AC55" i="11" s="1"/>
  <c r="F5" i="36"/>
  <c r="G5" i="36" s="1"/>
  <c r="H5" i="36" s="1"/>
  <c r="AC7" i="11" s="1"/>
  <c r="F24" i="36"/>
  <c r="G24" i="36" s="1"/>
  <c r="H24" i="36" s="1"/>
  <c r="AC26" i="11" s="1"/>
  <c r="F17" i="36"/>
  <c r="G17" i="36" s="1"/>
  <c r="H17" i="36" s="1"/>
  <c r="AC19" i="11" s="1"/>
  <c r="F26" i="36"/>
  <c r="G26" i="36" s="1"/>
  <c r="H26" i="36" s="1"/>
  <c r="AC28" i="11" s="1"/>
  <c r="F15" i="36"/>
  <c r="G15" i="36" s="1"/>
  <c r="H15" i="36" s="1"/>
  <c r="AC17" i="11" s="1"/>
  <c r="F46" i="36"/>
  <c r="G46" i="36" s="1"/>
  <c r="H46" i="36" s="1"/>
  <c r="AC48" i="11" s="1"/>
  <c r="F43" i="36"/>
  <c r="G43" i="36" s="1"/>
  <c r="H43" i="36" s="1"/>
  <c r="AC45" i="11" s="1"/>
  <c r="F9" i="36"/>
  <c r="G9" i="36" s="1"/>
  <c r="H9" i="36" s="1"/>
  <c r="AC11" i="11" s="1"/>
  <c r="F33" i="36"/>
  <c r="G33" i="36" s="1"/>
  <c r="H33" i="36" s="1"/>
  <c r="AC35" i="11" s="1"/>
  <c r="F11" i="36"/>
  <c r="G11" i="36" s="1"/>
  <c r="H11" i="36" s="1"/>
  <c r="AC13" i="11" s="1"/>
  <c r="F21" i="36"/>
  <c r="G21" i="36" s="1"/>
  <c r="H21" i="36" s="1"/>
  <c r="AC23" i="11" s="1"/>
  <c r="F37" i="36"/>
  <c r="G37" i="36" s="1"/>
  <c r="H37" i="36" s="1"/>
  <c r="AC39" i="11" s="1"/>
  <c r="F36" i="36"/>
  <c r="G36" i="36" s="1"/>
  <c r="H36" i="36" s="1"/>
  <c r="AC38" i="11" s="1"/>
  <c r="F14" i="36"/>
  <c r="G14" i="36" s="1"/>
  <c r="H14" i="36" s="1"/>
  <c r="AC16" i="11" s="1"/>
  <c r="F47" i="36"/>
  <c r="G47" i="36" s="1"/>
  <c r="H47" i="36" s="1"/>
  <c r="AC49" i="11" s="1"/>
  <c r="F30" i="36"/>
  <c r="G30" i="36" s="1"/>
  <c r="H30" i="36" s="1"/>
  <c r="AC32" i="11" s="1"/>
  <c r="F19" i="36"/>
  <c r="G19" i="36" s="1"/>
  <c r="H19" i="36" s="1"/>
  <c r="AC21" i="11" s="1"/>
  <c r="F20" i="36"/>
  <c r="G20" i="36" s="1"/>
  <c r="H20" i="36" s="1"/>
  <c r="AC22" i="11" s="1"/>
  <c r="F13" i="36"/>
  <c r="G13" i="36" s="1"/>
  <c r="H13" i="36" s="1"/>
  <c r="AC15" i="11" s="1"/>
  <c r="F6" i="36"/>
  <c r="G6" i="36" s="1"/>
  <c r="H6" i="36" s="1"/>
  <c r="AC8" i="11" s="1"/>
  <c r="F39" i="36"/>
  <c r="G39" i="36" s="1"/>
  <c r="H39" i="36" s="1"/>
  <c r="AC41" i="11" s="1"/>
  <c r="F7" i="36"/>
  <c r="G7" i="36" s="1"/>
  <c r="H7" i="36" s="1"/>
  <c r="AC9" i="11" s="1"/>
  <c r="F23" i="36"/>
  <c r="G23" i="36" s="1"/>
  <c r="H23" i="36" s="1"/>
  <c r="AC25" i="11" s="1"/>
  <c r="F34" i="36"/>
  <c r="G34" i="36" s="1"/>
  <c r="H34" i="36" s="1"/>
  <c r="AC36" i="11" s="1"/>
  <c r="F50" i="36"/>
  <c r="G50" i="36" s="1"/>
  <c r="H50" i="36" s="1"/>
  <c r="AC52" i="11" s="1"/>
  <c r="F12" i="36"/>
  <c r="G12" i="36" s="1"/>
  <c r="H12" i="36" s="1"/>
  <c r="AC14" i="11" s="1"/>
  <c r="F27" i="36"/>
  <c r="G27" i="36" s="1"/>
  <c r="H27" i="36" s="1"/>
  <c r="AC29" i="11" s="1"/>
  <c r="F31" i="36"/>
  <c r="G31" i="36" s="1"/>
  <c r="H31" i="36" s="1"/>
  <c r="AC33" i="11" s="1"/>
  <c r="D4" i="26" l="1"/>
  <c r="D28" i="26"/>
  <c r="E28" i="26" s="1"/>
  <c r="D12" i="26"/>
  <c r="E12" i="26" s="1"/>
  <c r="D48" i="26"/>
  <c r="E48" i="26" s="1"/>
  <c r="D23" i="26"/>
  <c r="E23" i="26" s="1"/>
  <c r="D15" i="26"/>
  <c r="E15" i="26" s="1"/>
  <c r="D34" i="26"/>
  <c r="E34" i="26" s="1"/>
  <c r="D19" i="26"/>
  <c r="E19" i="26" s="1"/>
  <c r="D9" i="26"/>
  <c r="E9" i="26" s="1"/>
  <c r="D36" i="26"/>
  <c r="E36" i="26" s="1"/>
  <c r="D30" i="26"/>
  <c r="E30" i="26" s="1"/>
  <c r="D26" i="26"/>
  <c r="E26" i="26" s="1"/>
  <c r="D46" i="26"/>
  <c r="E46" i="26" s="1"/>
  <c r="D7" i="26"/>
  <c r="E7" i="26" s="1"/>
  <c r="D5" i="26"/>
  <c r="E5" i="26" s="1"/>
  <c r="D40" i="26"/>
  <c r="E40" i="26" s="1"/>
  <c r="D11" i="26"/>
  <c r="E11" i="26" s="1"/>
  <c r="D10" i="26"/>
  <c r="E10" i="26" s="1"/>
  <c r="D52" i="26"/>
  <c r="E52" i="26" s="1"/>
  <c r="D47" i="26"/>
  <c r="E47" i="26" s="1"/>
  <c r="D41" i="26"/>
  <c r="E41" i="26" s="1"/>
  <c r="D35" i="26"/>
  <c r="E35" i="26" s="1"/>
  <c r="D29" i="26"/>
  <c r="E29" i="26" s="1"/>
  <c r="D31" i="26"/>
  <c r="E31" i="26" s="1"/>
  <c r="E13" i="26"/>
  <c r="D24" i="26"/>
  <c r="E24" i="26" s="1"/>
  <c r="D20" i="26"/>
  <c r="E20" i="26" s="1"/>
  <c r="D43" i="26"/>
  <c r="E43" i="26" s="1"/>
  <c r="D21" i="26"/>
  <c r="E21" i="26" s="1"/>
  <c r="D27" i="26"/>
  <c r="E27" i="26" s="1"/>
  <c r="D50" i="26"/>
  <c r="E50" i="26" s="1"/>
  <c r="D8" i="26"/>
  <c r="E8" i="26" s="1"/>
  <c r="D33" i="26"/>
  <c r="E33" i="26" s="1"/>
  <c r="D25" i="26"/>
  <c r="E25" i="26" s="1"/>
  <c r="D38" i="26"/>
  <c r="E38" i="26" s="1"/>
  <c r="D51" i="26"/>
  <c r="E51" i="26" s="1"/>
  <c r="D18" i="26"/>
  <c r="E18" i="26" s="1"/>
  <c r="D45" i="26"/>
  <c r="E45" i="26" s="1"/>
  <c r="D32" i="26"/>
  <c r="E32" i="26" s="1"/>
  <c r="D44" i="26"/>
  <c r="E44" i="26" s="1"/>
  <c r="D17" i="26"/>
  <c r="E17" i="26" s="1"/>
  <c r="D49" i="26"/>
  <c r="E49" i="26" s="1"/>
  <c r="D6" i="26"/>
  <c r="E6" i="26" s="1"/>
  <c r="D37" i="26"/>
  <c r="E37" i="26" s="1"/>
  <c r="D22" i="26"/>
  <c r="E22" i="26" s="1"/>
  <c r="D3" i="26"/>
  <c r="E3" i="26" s="1"/>
  <c r="F3" i="26" s="1"/>
  <c r="G3" i="26" s="1"/>
  <c r="D16" i="26"/>
  <c r="E16" i="26" s="1"/>
  <c r="D53" i="26"/>
  <c r="E53" i="26" s="1"/>
  <c r="D39" i="26"/>
  <c r="E39" i="26" s="1"/>
  <c r="D42" i="26"/>
  <c r="E42" i="26" s="1"/>
  <c r="D14" i="26"/>
  <c r="E14" i="26" s="1"/>
  <c r="F3" i="15"/>
  <c r="F35" i="15" s="1"/>
  <c r="G35" i="15" s="1"/>
  <c r="H35" i="15" s="1"/>
  <c r="AD37" i="11" s="1"/>
  <c r="F52" i="14"/>
  <c r="G52" i="14" s="1"/>
  <c r="H52" i="14" s="1"/>
  <c r="T54" i="11" s="1"/>
  <c r="F27" i="13"/>
  <c r="G27" i="13" s="1"/>
  <c r="H27" i="13" s="1"/>
  <c r="K29" i="11" s="1"/>
  <c r="F13" i="14"/>
  <c r="G13" i="14" s="1"/>
  <c r="H13" i="14" s="1"/>
  <c r="T15" i="11" s="1"/>
  <c r="F6" i="14"/>
  <c r="G6" i="14" s="1"/>
  <c r="H6" i="14" s="1"/>
  <c r="T8" i="11" s="1"/>
  <c r="F29" i="14"/>
  <c r="G29" i="14" s="1"/>
  <c r="H29" i="14" s="1"/>
  <c r="T31" i="11" s="1"/>
  <c r="F34" i="13"/>
  <c r="G34" i="13" s="1"/>
  <c r="H34" i="13" s="1"/>
  <c r="K36" i="11" s="1"/>
  <c r="F21" i="13"/>
  <c r="G21" i="13" s="1"/>
  <c r="H21" i="13" s="1"/>
  <c r="K23" i="11" s="1"/>
  <c r="F42" i="13"/>
  <c r="G42" i="13" s="1"/>
  <c r="H42" i="13" s="1"/>
  <c r="K44" i="11" s="1"/>
  <c r="F12" i="13"/>
  <c r="G12" i="13" s="1"/>
  <c r="H12" i="13" s="1"/>
  <c r="K14" i="11" s="1"/>
  <c r="F38" i="13"/>
  <c r="G38" i="13" s="1"/>
  <c r="H38" i="13" s="1"/>
  <c r="K40" i="11" s="1"/>
  <c r="F43" i="14"/>
  <c r="G43" i="14" s="1"/>
  <c r="H43" i="14" s="1"/>
  <c r="T45" i="11" s="1"/>
  <c r="F35" i="14"/>
  <c r="G35" i="14" s="1"/>
  <c r="H35" i="14" s="1"/>
  <c r="T37" i="11" s="1"/>
  <c r="F30" i="14"/>
  <c r="G30" i="14" s="1"/>
  <c r="H30" i="14" s="1"/>
  <c r="T32" i="11" s="1"/>
  <c r="F44" i="14"/>
  <c r="G44" i="14" s="1"/>
  <c r="H44" i="14" s="1"/>
  <c r="T46" i="11" s="1"/>
  <c r="F28" i="13"/>
  <c r="G28" i="13" s="1"/>
  <c r="H28" i="13" s="1"/>
  <c r="K30" i="11" s="1"/>
  <c r="F43" i="13"/>
  <c r="G43" i="13" s="1"/>
  <c r="H43" i="13" s="1"/>
  <c r="K45" i="11" s="1"/>
  <c r="F47" i="13"/>
  <c r="G47" i="13" s="1"/>
  <c r="H47" i="13" s="1"/>
  <c r="K49" i="11" s="1"/>
  <c r="F9" i="13"/>
  <c r="G9" i="13" s="1"/>
  <c r="H9" i="13" s="1"/>
  <c r="K11" i="11" s="1"/>
  <c r="F45" i="13"/>
  <c r="G45" i="13" s="1"/>
  <c r="H45" i="13" s="1"/>
  <c r="K47" i="11" s="1"/>
  <c r="F24" i="13"/>
  <c r="G24" i="13" s="1"/>
  <c r="H24" i="13" s="1"/>
  <c r="K26" i="11" s="1"/>
  <c r="F33" i="13"/>
  <c r="G33" i="13" s="1"/>
  <c r="H33" i="13" s="1"/>
  <c r="K35" i="11" s="1"/>
  <c r="F15" i="13"/>
  <c r="G15" i="13" s="1"/>
  <c r="H15" i="13" s="1"/>
  <c r="K17" i="11" s="1"/>
  <c r="F8" i="13"/>
  <c r="G8" i="13" s="1"/>
  <c r="H8" i="13" s="1"/>
  <c r="K10" i="11" s="1"/>
  <c r="F29" i="13"/>
  <c r="G29" i="13" s="1"/>
  <c r="H29" i="13" s="1"/>
  <c r="K31" i="11" s="1"/>
  <c r="F16" i="13"/>
  <c r="G16" i="13" s="1"/>
  <c r="H16" i="13" s="1"/>
  <c r="K18" i="11" s="1"/>
  <c r="F25" i="13"/>
  <c r="G25" i="13" s="1"/>
  <c r="H25" i="13" s="1"/>
  <c r="K27" i="11" s="1"/>
  <c r="F32" i="13"/>
  <c r="G32" i="13" s="1"/>
  <c r="H32" i="13" s="1"/>
  <c r="K34" i="11" s="1"/>
  <c r="F22" i="13"/>
  <c r="G22" i="13" s="1"/>
  <c r="H22" i="13" s="1"/>
  <c r="K24" i="11" s="1"/>
  <c r="F31" i="13"/>
  <c r="G31" i="13" s="1"/>
  <c r="H31" i="13" s="1"/>
  <c r="K33" i="11" s="1"/>
  <c r="F37" i="13"/>
  <c r="G37" i="13" s="1"/>
  <c r="H37" i="13" s="1"/>
  <c r="K39" i="11" s="1"/>
  <c r="F10" i="13"/>
  <c r="G10" i="13" s="1"/>
  <c r="H10" i="13" s="1"/>
  <c r="K12" i="11" s="1"/>
  <c r="F40" i="13"/>
  <c r="G40" i="13" s="1"/>
  <c r="H40" i="13" s="1"/>
  <c r="K42" i="11" s="1"/>
  <c r="F19" i="13"/>
  <c r="G19" i="13" s="1"/>
  <c r="H19" i="13" s="1"/>
  <c r="K21" i="11" s="1"/>
  <c r="F41" i="13"/>
  <c r="G41" i="13" s="1"/>
  <c r="H41" i="13" s="1"/>
  <c r="K43" i="11" s="1"/>
  <c r="F36" i="13"/>
  <c r="G36" i="13" s="1"/>
  <c r="H36" i="13" s="1"/>
  <c r="K38" i="11" s="1"/>
  <c r="F5" i="13"/>
  <c r="G5" i="13" s="1"/>
  <c r="H5" i="13" s="1"/>
  <c r="K7" i="11" s="1"/>
  <c r="F53" i="13"/>
  <c r="G53" i="13" s="1"/>
  <c r="H53" i="13" s="1"/>
  <c r="K55" i="11" s="1"/>
  <c r="F20" i="13"/>
  <c r="G20" i="13" s="1"/>
  <c r="H20" i="13" s="1"/>
  <c r="K22" i="11" s="1"/>
  <c r="F48" i="13"/>
  <c r="G48" i="13" s="1"/>
  <c r="H48" i="13" s="1"/>
  <c r="K50" i="11" s="1"/>
  <c r="F30" i="13"/>
  <c r="G30" i="13" s="1"/>
  <c r="H30" i="13" s="1"/>
  <c r="K32" i="11" s="1"/>
  <c r="F49" i="13"/>
  <c r="G49" i="13" s="1"/>
  <c r="H49" i="13" s="1"/>
  <c r="K51" i="11" s="1"/>
  <c r="F6" i="13"/>
  <c r="G6" i="13" s="1"/>
  <c r="H6" i="13" s="1"/>
  <c r="K8" i="11" s="1"/>
  <c r="F46" i="13"/>
  <c r="G46" i="13" s="1"/>
  <c r="H46" i="13" s="1"/>
  <c r="K48" i="11" s="1"/>
  <c r="F14" i="13"/>
  <c r="G14" i="13" s="1"/>
  <c r="H14" i="13" s="1"/>
  <c r="K16" i="11" s="1"/>
  <c r="F50" i="13"/>
  <c r="G50" i="13" s="1"/>
  <c r="H50" i="13" s="1"/>
  <c r="K52" i="11" s="1"/>
  <c r="F23" i="13"/>
  <c r="G23" i="13" s="1"/>
  <c r="H23" i="13" s="1"/>
  <c r="K25" i="11" s="1"/>
  <c r="F13" i="13"/>
  <c r="G13" i="13" s="1"/>
  <c r="H13" i="13" s="1"/>
  <c r="K15" i="11" s="1"/>
  <c r="F35" i="13"/>
  <c r="G35" i="13" s="1"/>
  <c r="H35" i="13" s="1"/>
  <c r="K37" i="11" s="1"/>
  <c r="F18" i="13"/>
  <c r="G18" i="13" s="1"/>
  <c r="H18" i="13" s="1"/>
  <c r="K20" i="11" s="1"/>
  <c r="F52" i="13"/>
  <c r="G52" i="13" s="1"/>
  <c r="H52" i="13" s="1"/>
  <c r="K54" i="11" s="1"/>
  <c r="F39" i="13"/>
  <c r="G39" i="13" s="1"/>
  <c r="H39" i="13" s="1"/>
  <c r="K41" i="11" s="1"/>
  <c r="F11" i="13"/>
  <c r="G11" i="13" s="1"/>
  <c r="H11" i="13" s="1"/>
  <c r="K13" i="11" s="1"/>
  <c r="F51" i="13"/>
  <c r="G51" i="13" s="1"/>
  <c r="H51" i="13" s="1"/>
  <c r="K53" i="11" s="1"/>
  <c r="F44" i="13"/>
  <c r="G44" i="13" s="1"/>
  <c r="H44" i="13" s="1"/>
  <c r="K46" i="11" s="1"/>
  <c r="F26" i="13"/>
  <c r="G26" i="13" s="1"/>
  <c r="H26" i="13" s="1"/>
  <c r="K28" i="11" s="1"/>
  <c r="F17" i="13"/>
  <c r="G17" i="13" s="1"/>
  <c r="H17" i="13" s="1"/>
  <c r="K19" i="11" s="1"/>
  <c r="D9" i="40"/>
  <c r="E9" i="40" s="1"/>
  <c r="D17" i="40"/>
  <c r="E17" i="40" s="1"/>
  <c r="D25" i="40"/>
  <c r="E25" i="40" s="1"/>
  <c r="D33" i="40"/>
  <c r="E33" i="40" s="1"/>
  <c r="D45" i="40"/>
  <c r="E45" i="40" s="1"/>
  <c r="D53" i="40"/>
  <c r="E53" i="40" s="1"/>
  <c r="D11" i="40"/>
  <c r="E11" i="40" s="1"/>
  <c r="D19" i="40"/>
  <c r="E19" i="40" s="1"/>
  <c r="D23" i="40"/>
  <c r="E23" i="40" s="1"/>
  <c r="D31" i="40"/>
  <c r="E31" i="40" s="1"/>
  <c r="D43" i="40"/>
  <c r="E43" i="40" s="1"/>
  <c r="D4" i="40"/>
  <c r="D8" i="40"/>
  <c r="E8" i="40" s="1"/>
  <c r="D12" i="40"/>
  <c r="E12" i="40" s="1"/>
  <c r="D16" i="40"/>
  <c r="E16" i="40" s="1"/>
  <c r="D20" i="40"/>
  <c r="E20" i="40" s="1"/>
  <c r="D24" i="40"/>
  <c r="E24" i="40" s="1"/>
  <c r="D28" i="40"/>
  <c r="E28" i="40" s="1"/>
  <c r="D32" i="40"/>
  <c r="E32" i="40" s="1"/>
  <c r="D36" i="40"/>
  <c r="E36" i="40" s="1"/>
  <c r="D40" i="40"/>
  <c r="E40" i="40" s="1"/>
  <c r="D44" i="40"/>
  <c r="E44" i="40" s="1"/>
  <c r="D48" i="40"/>
  <c r="E48" i="40" s="1"/>
  <c r="D52" i="40"/>
  <c r="E52" i="40" s="1"/>
  <c r="D5" i="40"/>
  <c r="E5" i="40" s="1"/>
  <c r="D13" i="40"/>
  <c r="E13" i="40" s="1"/>
  <c r="D21" i="40"/>
  <c r="E21" i="40" s="1"/>
  <c r="D29" i="40"/>
  <c r="E29" i="40" s="1"/>
  <c r="D37" i="40"/>
  <c r="E37" i="40" s="1"/>
  <c r="D41" i="40"/>
  <c r="E41" i="40" s="1"/>
  <c r="D49" i="40"/>
  <c r="E49" i="40" s="1"/>
  <c r="D3" i="40"/>
  <c r="E3" i="40" s="1"/>
  <c r="D7" i="40"/>
  <c r="E7" i="40" s="1"/>
  <c r="D27" i="40"/>
  <c r="E27" i="40" s="1"/>
  <c r="D39" i="40"/>
  <c r="E39" i="40" s="1"/>
  <c r="D47" i="40"/>
  <c r="E47" i="40" s="1"/>
  <c r="D6" i="40"/>
  <c r="E6" i="40" s="1"/>
  <c r="D10" i="40"/>
  <c r="E10" i="40" s="1"/>
  <c r="D14" i="40"/>
  <c r="E14" i="40" s="1"/>
  <c r="D18" i="40"/>
  <c r="E18" i="40" s="1"/>
  <c r="D22" i="40"/>
  <c r="E22" i="40" s="1"/>
  <c r="D26" i="40"/>
  <c r="E26" i="40" s="1"/>
  <c r="D30" i="40"/>
  <c r="E30" i="40" s="1"/>
  <c r="D34" i="40"/>
  <c r="E34" i="40" s="1"/>
  <c r="D38" i="40"/>
  <c r="E38" i="40" s="1"/>
  <c r="D42" i="40"/>
  <c r="E42" i="40" s="1"/>
  <c r="D46" i="40"/>
  <c r="E46" i="40" s="1"/>
  <c r="D50" i="40"/>
  <c r="E50" i="40" s="1"/>
  <c r="D15" i="40"/>
  <c r="E15" i="40" s="1"/>
  <c r="D35" i="40"/>
  <c r="E35" i="40" s="1"/>
  <c r="D51" i="40"/>
  <c r="E51" i="40" s="1"/>
  <c r="D3" i="38"/>
  <c r="E3" i="38" s="1"/>
  <c r="D10" i="38"/>
  <c r="E10" i="38" s="1"/>
  <c r="D7" i="38"/>
  <c r="E7" i="38" s="1"/>
  <c r="D19" i="38"/>
  <c r="E19" i="38" s="1"/>
  <c r="D23" i="38"/>
  <c r="E23" i="38" s="1"/>
  <c r="D31" i="38"/>
  <c r="E31" i="38" s="1"/>
  <c r="D43" i="38"/>
  <c r="E43" i="38" s="1"/>
  <c r="D4" i="38"/>
  <c r="D8" i="38"/>
  <c r="E8" i="38" s="1"/>
  <c r="D12" i="38"/>
  <c r="E12" i="38" s="1"/>
  <c r="D16" i="38"/>
  <c r="E16" i="38" s="1"/>
  <c r="D20" i="38"/>
  <c r="E20" i="38" s="1"/>
  <c r="D24" i="38"/>
  <c r="E24" i="38" s="1"/>
  <c r="D28" i="38"/>
  <c r="E28" i="38" s="1"/>
  <c r="D32" i="38"/>
  <c r="E32" i="38" s="1"/>
  <c r="D36" i="38"/>
  <c r="E36" i="38" s="1"/>
  <c r="D40" i="38"/>
  <c r="E40" i="38" s="1"/>
  <c r="D44" i="38"/>
  <c r="E44" i="38" s="1"/>
  <c r="D48" i="38"/>
  <c r="E48" i="38" s="1"/>
  <c r="D52" i="38"/>
  <c r="E52" i="38" s="1"/>
  <c r="D14" i="38"/>
  <c r="E14" i="38" s="1"/>
  <c r="D15" i="38"/>
  <c r="E15" i="38" s="1"/>
  <c r="D35" i="38"/>
  <c r="E35" i="38" s="1"/>
  <c r="D47" i="38"/>
  <c r="E47" i="38" s="1"/>
  <c r="D5" i="38"/>
  <c r="E5" i="38" s="1"/>
  <c r="D9" i="38"/>
  <c r="E9" i="38" s="1"/>
  <c r="D13" i="38"/>
  <c r="E13" i="38" s="1"/>
  <c r="D17" i="38"/>
  <c r="E17" i="38" s="1"/>
  <c r="D21" i="38"/>
  <c r="E21" i="38" s="1"/>
  <c r="D25" i="38"/>
  <c r="E25" i="38" s="1"/>
  <c r="D29" i="38"/>
  <c r="E29" i="38" s="1"/>
  <c r="D33" i="38"/>
  <c r="E33" i="38" s="1"/>
  <c r="D37" i="38"/>
  <c r="E37" i="38" s="1"/>
  <c r="D41" i="38"/>
  <c r="E41" i="38" s="1"/>
  <c r="D45" i="38"/>
  <c r="E45" i="38" s="1"/>
  <c r="D49" i="38"/>
  <c r="E49" i="38" s="1"/>
  <c r="D53" i="38"/>
  <c r="E53" i="38" s="1"/>
  <c r="D6" i="38"/>
  <c r="E6" i="38" s="1"/>
  <c r="D18" i="38"/>
  <c r="E18" i="38" s="1"/>
  <c r="D22" i="38"/>
  <c r="E22" i="38" s="1"/>
  <c r="D26" i="38"/>
  <c r="E26" i="38" s="1"/>
  <c r="D30" i="38"/>
  <c r="E30" i="38" s="1"/>
  <c r="D34" i="38"/>
  <c r="E34" i="38" s="1"/>
  <c r="D38" i="38"/>
  <c r="E38" i="38" s="1"/>
  <c r="D42" i="38"/>
  <c r="E42" i="38" s="1"/>
  <c r="D46" i="38"/>
  <c r="E46" i="38" s="1"/>
  <c r="D50" i="38"/>
  <c r="E50" i="38" s="1"/>
  <c r="D11" i="38"/>
  <c r="E11" i="38" s="1"/>
  <c r="D27" i="38"/>
  <c r="E27" i="38" s="1"/>
  <c r="D39" i="38"/>
  <c r="E39" i="38" s="1"/>
  <c r="D51" i="38"/>
  <c r="E51" i="38" s="1"/>
  <c r="F20" i="14"/>
  <c r="G20" i="14" s="1"/>
  <c r="H20" i="14" s="1"/>
  <c r="T22" i="11" s="1"/>
  <c r="F7" i="14"/>
  <c r="G7" i="14" s="1"/>
  <c r="H7" i="14" s="1"/>
  <c r="T9" i="11" s="1"/>
  <c r="F25" i="14"/>
  <c r="G25" i="14" s="1"/>
  <c r="H25" i="14" s="1"/>
  <c r="T27" i="11" s="1"/>
  <c r="F51" i="14"/>
  <c r="G51" i="14" s="1"/>
  <c r="H51" i="14" s="1"/>
  <c r="T53" i="11" s="1"/>
  <c r="F28" i="14"/>
  <c r="G28" i="14" s="1"/>
  <c r="H28" i="14" s="1"/>
  <c r="T30" i="11" s="1"/>
  <c r="F10" i="14"/>
  <c r="G10" i="14" s="1"/>
  <c r="H10" i="14" s="1"/>
  <c r="T12" i="11" s="1"/>
  <c r="F17" i="14"/>
  <c r="G17" i="14" s="1"/>
  <c r="H17" i="14" s="1"/>
  <c r="T19" i="11" s="1"/>
  <c r="F39" i="14"/>
  <c r="G39" i="14" s="1"/>
  <c r="H39" i="14" s="1"/>
  <c r="T41" i="11" s="1"/>
  <c r="F27" i="14"/>
  <c r="G27" i="14" s="1"/>
  <c r="H27" i="14" s="1"/>
  <c r="T29" i="11" s="1"/>
  <c r="F53" i="14"/>
  <c r="G53" i="14" s="1"/>
  <c r="H53" i="14" s="1"/>
  <c r="T55" i="11" s="1"/>
  <c r="F21" i="14"/>
  <c r="G21" i="14" s="1"/>
  <c r="H21" i="14" s="1"/>
  <c r="T23" i="11" s="1"/>
  <c r="F8" i="14"/>
  <c r="G8" i="14" s="1"/>
  <c r="H8" i="14" s="1"/>
  <c r="T10" i="11" s="1"/>
  <c r="F22" i="14"/>
  <c r="G22" i="14" s="1"/>
  <c r="H22" i="14" s="1"/>
  <c r="T24" i="11" s="1"/>
  <c r="F47" i="14"/>
  <c r="G47" i="14" s="1"/>
  <c r="H47" i="14" s="1"/>
  <c r="T49" i="11" s="1"/>
  <c r="F49" i="14"/>
  <c r="G49" i="14" s="1"/>
  <c r="H49" i="14" s="1"/>
  <c r="T51" i="11" s="1"/>
  <c r="F11" i="14"/>
  <c r="G11" i="14" s="1"/>
  <c r="H11" i="14" s="1"/>
  <c r="T13" i="11" s="1"/>
  <c r="F36" i="14"/>
  <c r="G36" i="14" s="1"/>
  <c r="H36" i="14" s="1"/>
  <c r="T38" i="11" s="1"/>
  <c r="F34" i="14"/>
  <c r="G34" i="14" s="1"/>
  <c r="H34" i="14" s="1"/>
  <c r="T36" i="11" s="1"/>
  <c r="F42" i="14"/>
  <c r="G42" i="14" s="1"/>
  <c r="H42" i="14" s="1"/>
  <c r="T44" i="11" s="1"/>
  <c r="F24" i="14"/>
  <c r="G24" i="14" s="1"/>
  <c r="H24" i="14" s="1"/>
  <c r="T26" i="11" s="1"/>
  <c r="F16" i="14"/>
  <c r="G16" i="14" s="1"/>
  <c r="H16" i="14" s="1"/>
  <c r="T18" i="11" s="1"/>
  <c r="F15" i="14"/>
  <c r="G15" i="14" s="1"/>
  <c r="H15" i="14" s="1"/>
  <c r="T17" i="11" s="1"/>
  <c r="F32" i="14"/>
  <c r="G32" i="14" s="1"/>
  <c r="H32" i="14" s="1"/>
  <c r="T34" i="11" s="1"/>
  <c r="F12" i="14"/>
  <c r="G12" i="14" s="1"/>
  <c r="H12" i="14" s="1"/>
  <c r="T14" i="11" s="1"/>
  <c r="F41" i="14"/>
  <c r="G41" i="14" s="1"/>
  <c r="H41" i="14" s="1"/>
  <c r="T43" i="11" s="1"/>
  <c r="F31" i="14"/>
  <c r="G31" i="14" s="1"/>
  <c r="H31" i="14" s="1"/>
  <c r="T33" i="11" s="1"/>
  <c r="F48" i="14"/>
  <c r="G48" i="14" s="1"/>
  <c r="H48" i="14" s="1"/>
  <c r="T50" i="11" s="1"/>
  <c r="F5" i="14"/>
  <c r="G5" i="14" s="1"/>
  <c r="H5" i="14" s="1"/>
  <c r="T7" i="11" s="1"/>
  <c r="F46" i="14"/>
  <c r="G46" i="14" s="1"/>
  <c r="H46" i="14" s="1"/>
  <c r="T48" i="11" s="1"/>
  <c r="F33" i="14"/>
  <c r="G33" i="14" s="1"/>
  <c r="H33" i="14" s="1"/>
  <c r="T35" i="11" s="1"/>
  <c r="F37" i="14"/>
  <c r="G37" i="14" s="1"/>
  <c r="H37" i="14" s="1"/>
  <c r="T39" i="11" s="1"/>
  <c r="F50" i="14"/>
  <c r="G50" i="14" s="1"/>
  <c r="H50" i="14" s="1"/>
  <c r="T52" i="11" s="1"/>
  <c r="F38" i="14"/>
  <c r="G38" i="14" s="1"/>
  <c r="H38" i="14" s="1"/>
  <c r="T40" i="11" s="1"/>
  <c r="F14" i="14"/>
  <c r="G14" i="14" s="1"/>
  <c r="H14" i="14" s="1"/>
  <c r="T16" i="11" s="1"/>
  <c r="F26" i="14"/>
  <c r="G26" i="14" s="1"/>
  <c r="H26" i="14" s="1"/>
  <c r="T28" i="11" s="1"/>
  <c r="F19" i="14"/>
  <c r="G19" i="14" s="1"/>
  <c r="H19" i="14" s="1"/>
  <c r="T21" i="11" s="1"/>
  <c r="F9" i="14"/>
  <c r="G9" i="14" s="1"/>
  <c r="H9" i="14" s="1"/>
  <c r="T11" i="11" s="1"/>
  <c r="F45" i="14"/>
  <c r="G45" i="14" s="1"/>
  <c r="H45" i="14" s="1"/>
  <c r="T47" i="11" s="1"/>
  <c r="F23" i="14"/>
  <c r="G23" i="14" s="1"/>
  <c r="H23" i="14" s="1"/>
  <c r="T25" i="11" s="1"/>
  <c r="F18" i="14"/>
  <c r="G18" i="14" s="1"/>
  <c r="H18" i="14" s="1"/>
  <c r="T20" i="11" s="1"/>
  <c r="F40" i="14"/>
  <c r="G40" i="14" s="1"/>
  <c r="H40" i="14" s="1"/>
  <c r="T42" i="11" s="1"/>
  <c r="F7" i="13"/>
  <c r="G7" i="13" s="1"/>
  <c r="H7" i="13" s="1"/>
  <c r="K9" i="11" s="1"/>
  <c r="F3" i="64"/>
  <c r="F11" i="64" s="1"/>
  <c r="G11" i="64" s="1"/>
  <c r="H11" i="64" s="1"/>
  <c r="Z13" i="11" s="1"/>
  <c r="F3" i="63"/>
  <c r="G3" i="63" s="1"/>
  <c r="F3" i="62"/>
  <c r="G3" i="62" s="1"/>
  <c r="F3" i="61"/>
  <c r="F44" i="61" s="1"/>
  <c r="G44" i="61" s="1"/>
  <c r="H44" i="61" s="1"/>
  <c r="W46" i="11" s="1"/>
  <c r="F3" i="60"/>
  <c r="G3" i="60" s="1"/>
  <c r="F3" i="59"/>
  <c r="G3" i="59" s="1"/>
  <c r="F3" i="58"/>
  <c r="G3" i="58" s="1"/>
  <c r="F3" i="57"/>
  <c r="G3" i="57" s="1"/>
  <c r="F3" i="54"/>
  <c r="G3" i="54" s="1"/>
  <c r="F3" i="53"/>
  <c r="F17" i="53" s="1"/>
  <c r="G17" i="53" s="1"/>
  <c r="H17" i="53" s="1"/>
  <c r="N19" i="11" s="1"/>
  <c r="F3" i="52"/>
  <c r="G3" i="52" s="1"/>
  <c r="F3" i="51"/>
  <c r="G3" i="51" s="1"/>
  <c r="F1" i="28"/>
  <c r="BB13" i="7" s="1"/>
  <c r="F3" i="10"/>
  <c r="G3" i="10" s="1"/>
  <c r="F3" i="47"/>
  <c r="G3" i="47" s="1"/>
  <c r="F3" i="45"/>
  <c r="G3" i="45" s="1"/>
  <c r="F3" i="46"/>
  <c r="G3" i="46" s="1"/>
  <c r="F3" i="48"/>
  <c r="G3" i="48" s="1"/>
  <c r="D2" i="39"/>
  <c r="AC107" i="11"/>
  <c r="AQ42" i="7" s="1"/>
  <c r="G56" i="36"/>
  <c r="H55" i="36"/>
  <c r="G55" i="36" s="1"/>
  <c r="H56" i="36"/>
  <c r="F41" i="26" l="1"/>
  <c r="G41" i="26" s="1"/>
  <c r="F24" i="26"/>
  <c r="G24" i="26" s="1"/>
  <c r="F11" i="26"/>
  <c r="G11" i="26" s="1"/>
  <c r="F5" i="26"/>
  <c r="G5" i="26" s="1"/>
  <c r="H5" i="26" s="1"/>
  <c r="H6" i="26" s="1"/>
  <c r="F16" i="26"/>
  <c r="G16" i="26" s="1"/>
  <c r="F18" i="26"/>
  <c r="G18" i="26" s="1"/>
  <c r="F49" i="26"/>
  <c r="G49" i="26" s="1"/>
  <c r="F45" i="26"/>
  <c r="G45" i="26" s="1"/>
  <c r="F44" i="26"/>
  <c r="G44" i="26" s="1"/>
  <c r="F14" i="26"/>
  <c r="G14" i="26" s="1"/>
  <c r="F43" i="26"/>
  <c r="G43" i="26" s="1"/>
  <c r="F53" i="26"/>
  <c r="G53" i="26" s="1"/>
  <c r="F52" i="26"/>
  <c r="G52" i="26" s="1"/>
  <c r="F48" i="26"/>
  <c r="G48" i="26" s="1"/>
  <c r="F6" i="26"/>
  <c r="G6" i="26" s="1"/>
  <c r="F23" i="26"/>
  <c r="G23" i="26" s="1"/>
  <c r="F19" i="26"/>
  <c r="G19" i="26" s="1"/>
  <c r="F22" i="26"/>
  <c r="G22" i="26" s="1"/>
  <c r="F51" i="26"/>
  <c r="G51" i="26" s="1"/>
  <c r="F20" i="26"/>
  <c r="G20" i="26" s="1"/>
  <c r="F13" i="26"/>
  <c r="G13" i="26" s="1"/>
  <c r="F35" i="26"/>
  <c r="G35" i="26" s="1"/>
  <c r="F36" i="26"/>
  <c r="G36" i="26" s="1"/>
  <c r="F17" i="26"/>
  <c r="G17" i="26" s="1"/>
  <c r="F8" i="26"/>
  <c r="G8" i="26" s="1"/>
  <c r="F33" i="26"/>
  <c r="G33" i="26" s="1"/>
  <c r="F39" i="26"/>
  <c r="G39" i="26" s="1"/>
  <c r="F27" i="26"/>
  <c r="G27" i="26" s="1"/>
  <c r="F15" i="26"/>
  <c r="G15" i="26" s="1"/>
  <c r="F38" i="26"/>
  <c r="G38" i="26" s="1"/>
  <c r="F37" i="26"/>
  <c r="G37" i="26" s="1"/>
  <c r="F30" i="26"/>
  <c r="G30" i="26" s="1"/>
  <c r="F42" i="26"/>
  <c r="G42" i="26" s="1"/>
  <c r="F21" i="26"/>
  <c r="G21" i="26" s="1"/>
  <c r="F26" i="26"/>
  <c r="G26" i="26" s="1"/>
  <c r="F47" i="26"/>
  <c r="G47" i="26" s="1"/>
  <c r="F34" i="26"/>
  <c r="G34" i="26" s="1"/>
  <c r="F50" i="26"/>
  <c r="G50" i="26" s="1"/>
  <c r="F32" i="26"/>
  <c r="G32" i="26" s="1"/>
  <c r="F9" i="26"/>
  <c r="G9" i="26" s="1"/>
  <c r="F10" i="26"/>
  <c r="G10" i="26" s="1"/>
  <c r="F25" i="26"/>
  <c r="G25" i="26" s="1"/>
  <c r="F46" i="26"/>
  <c r="G46" i="26" s="1"/>
  <c r="F40" i="26"/>
  <c r="G40" i="26" s="1"/>
  <c r="F31" i="26"/>
  <c r="G31" i="26" s="1"/>
  <c r="F28" i="26"/>
  <c r="G28" i="26" s="1"/>
  <c r="F7" i="26"/>
  <c r="G7" i="26" s="1"/>
  <c r="F29" i="26"/>
  <c r="G29" i="26" s="1"/>
  <c r="F12" i="26"/>
  <c r="G12" i="26" s="1"/>
  <c r="F41" i="15"/>
  <c r="G41" i="15" s="1"/>
  <c r="H41" i="15" s="1"/>
  <c r="AD43" i="11" s="1"/>
  <c r="F5" i="15"/>
  <c r="G5" i="15" s="1"/>
  <c r="H5" i="15" s="1"/>
  <c r="AD7" i="11" s="1"/>
  <c r="F17" i="15"/>
  <c r="G17" i="15" s="1"/>
  <c r="H17" i="15" s="1"/>
  <c r="AD19" i="11" s="1"/>
  <c r="F13" i="15"/>
  <c r="G13" i="15" s="1"/>
  <c r="H13" i="15" s="1"/>
  <c r="AD15" i="11" s="1"/>
  <c r="F40" i="15"/>
  <c r="G40" i="15" s="1"/>
  <c r="H40" i="15" s="1"/>
  <c r="AD42" i="11" s="1"/>
  <c r="F34" i="15"/>
  <c r="G34" i="15" s="1"/>
  <c r="H34" i="15" s="1"/>
  <c r="AD36" i="11" s="1"/>
  <c r="F11" i="15"/>
  <c r="G11" i="15" s="1"/>
  <c r="H11" i="15" s="1"/>
  <c r="AD13" i="11" s="1"/>
  <c r="F27" i="15"/>
  <c r="G27" i="15" s="1"/>
  <c r="H27" i="15" s="1"/>
  <c r="AD29" i="11" s="1"/>
  <c r="F8" i="15"/>
  <c r="G8" i="15" s="1"/>
  <c r="H8" i="15" s="1"/>
  <c r="AD10" i="11" s="1"/>
  <c r="F43" i="15"/>
  <c r="G43" i="15" s="1"/>
  <c r="H43" i="15" s="1"/>
  <c r="AD45" i="11" s="1"/>
  <c r="G3" i="15"/>
  <c r="F47" i="15"/>
  <c r="G47" i="15" s="1"/>
  <c r="H47" i="15" s="1"/>
  <c r="AD49" i="11" s="1"/>
  <c r="F10" i="15"/>
  <c r="G10" i="15" s="1"/>
  <c r="H10" i="15" s="1"/>
  <c r="AD12" i="11" s="1"/>
  <c r="F31" i="15"/>
  <c r="G31" i="15" s="1"/>
  <c r="H31" i="15" s="1"/>
  <c r="AD33" i="11" s="1"/>
  <c r="F19" i="15"/>
  <c r="G19" i="15" s="1"/>
  <c r="H19" i="15" s="1"/>
  <c r="AD21" i="11" s="1"/>
  <c r="F24" i="15"/>
  <c r="G24" i="15" s="1"/>
  <c r="H24" i="15" s="1"/>
  <c r="AD26" i="11" s="1"/>
  <c r="F42" i="15"/>
  <c r="G42" i="15" s="1"/>
  <c r="H42" i="15" s="1"/>
  <c r="AD44" i="11" s="1"/>
  <c r="F15" i="15"/>
  <c r="G15" i="15" s="1"/>
  <c r="H15" i="15" s="1"/>
  <c r="AD17" i="11" s="1"/>
  <c r="F25" i="15"/>
  <c r="G25" i="15" s="1"/>
  <c r="H25" i="15" s="1"/>
  <c r="AD27" i="11" s="1"/>
  <c r="F37" i="15"/>
  <c r="G37" i="15" s="1"/>
  <c r="H37" i="15" s="1"/>
  <c r="AD39" i="11" s="1"/>
  <c r="F18" i="15"/>
  <c r="G18" i="15" s="1"/>
  <c r="H18" i="15" s="1"/>
  <c r="AD20" i="11" s="1"/>
  <c r="F46" i="15"/>
  <c r="G46" i="15" s="1"/>
  <c r="H46" i="15" s="1"/>
  <c r="AD48" i="11" s="1"/>
  <c r="F26" i="15"/>
  <c r="G26" i="15" s="1"/>
  <c r="H26" i="15" s="1"/>
  <c r="AD28" i="11" s="1"/>
  <c r="F29" i="15"/>
  <c r="G29" i="15" s="1"/>
  <c r="H29" i="15" s="1"/>
  <c r="AD31" i="11" s="1"/>
  <c r="F16" i="15"/>
  <c r="G16" i="15" s="1"/>
  <c r="H16" i="15" s="1"/>
  <c r="AD18" i="11" s="1"/>
  <c r="F6" i="15"/>
  <c r="G6" i="15" s="1"/>
  <c r="H6" i="15" s="1"/>
  <c r="AD8" i="11" s="1"/>
  <c r="F53" i="15"/>
  <c r="G53" i="15" s="1"/>
  <c r="H53" i="15" s="1"/>
  <c r="AD55" i="11" s="1"/>
  <c r="F22" i="15"/>
  <c r="G22" i="15" s="1"/>
  <c r="H22" i="15" s="1"/>
  <c r="AD24" i="11" s="1"/>
  <c r="F9" i="15"/>
  <c r="G9" i="15" s="1"/>
  <c r="H9" i="15" s="1"/>
  <c r="AD11" i="11" s="1"/>
  <c r="F50" i="15"/>
  <c r="G50" i="15" s="1"/>
  <c r="H50" i="15" s="1"/>
  <c r="AD52" i="11" s="1"/>
  <c r="F33" i="15"/>
  <c r="G33" i="15" s="1"/>
  <c r="H33" i="15" s="1"/>
  <c r="AD35" i="11" s="1"/>
  <c r="F38" i="15"/>
  <c r="G38" i="15" s="1"/>
  <c r="H38" i="15" s="1"/>
  <c r="AD40" i="11" s="1"/>
  <c r="F30" i="15"/>
  <c r="G30" i="15" s="1"/>
  <c r="H30" i="15" s="1"/>
  <c r="AD32" i="11" s="1"/>
  <c r="F12" i="15"/>
  <c r="G12" i="15" s="1"/>
  <c r="H12" i="15" s="1"/>
  <c r="AD14" i="11" s="1"/>
  <c r="F20" i="15"/>
  <c r="G20" i="15" s="1"/>
  <c r="H20" i="15" s="1"/>
  <c r="AD22" i="11" s="1"/>
  <c r="F7" i="15"/>
  <c r="G7" i="15" s="1"/>
  <c r="H7" i="15" s="1"/>
  <c r="AD9" i="11" s="1"/>
  <c r="F36" i="15"/>
  <c r="G36" i="15" s="1"/>
  <c r="H36" i="15" s="1"/>
  <c r="AD38" i="11" s="1"/>
  <c r="F45" i="15"/>
  <c r="G45" i="15" s="1"/>
  <c r="H45" i="15" s="1"/>
  <c r="AD47" i="11" s="1"/>
  <c r="F49" i="15"/>
  <c r="G49" i="15" s="1"/>
  <c r="H49" i="15" s="1"/>
  <c r="AD51" i="11" s="1"/>
  <c r="F52" i="15"/>
  <c r="G52" i="15" s="1"/>
  <c r="H52" i="15" s="1"/>
  <c r="AD54" i="11" s="1"/>
  <c r="F51" i="15"/>
  <c r="G51" i="15" s="1"/>
  <c r="H51" i="15" s="1"/>
  <c r="AD53" i="11" s="1"/>
  <c r="F14" i="15"/>
  <c r="G14" i="15" s="1"/>
  <c r="H14" i="15" s="1"/>
  <c r="AD16" i="11" s="1"/>
  <c r="F48" i="15"/>
  <c r="G48" i="15" s="1"/>
  <c r="H48" i="15" s="1"/>
  <c r="AD50" i="11" s="1"/>
  <c r="F23" i="15"/>
  <c r="G23" i="15" s="1"/>
  <c r="H23" i="15" s="1"/>
  <c r="AD25" i="11" s="1"/>
  <c r="F21" i="15"/>
  <c r="G21" i="15" s="1"/>
  <c r="H21" i="15" s="1"/>
  <c r="AD23" i="11" s="1"/>
  <c r="F28" i="15"/>
  <c r="G28" i="15" s="1"/>
  <c r="H28" i="15" s="1"/>
  <c r="AD30" i="11" s="1"/>
  <c r="F32" i="15"/>
  <c r="G32" i="15" s="1"/>
  <c r="H32" i="15" s="1"/>
  <c r="AD34" i="11" s="1"/>
  <c r="F44" i="15"/>
  <c r="G44" i="15" s="1"/>
  <c r="H44" i="15" s="1"/>
  <c r="AD46" i="11" s="1"/>
  <c r="F39" i="15"/>
  <c r="G39" i="15" s="1"/>
  <c r="H39" i="15" s="1"/>
  <c r="AD41" i="11" s="1"/>
  <c r="F49" i="51"/>
  <c r="G49" i="51" s="1"/>
  <c r="H49" i="51" s="1"/>
  <c r="L51" i="11" s="1"/>
  <c r="F25" i="51"/>
  <c r="G25" i="51" s="1"/>
  <c r="H25" i="51" s="1"/>
  <c r="L27" i="11" s="1"/>
  <c r="F48" i="60"/>
  <c r="G48" i="60" s="1"/>
  <c r="H48" i="60" s="1"/>
  <c r="V50" i="11" s="1"/>
  <c r="F25" i="60"/>
  <c r="G25" i="60" s="1"/>
  <c r="H25" i="60" s="1"/>
  <c r="V27" i="11" s="1"/>
  <c r="F21" i="60"/>
  <c r="G21" i="60" s="1"/>
  <c r="H21" i="60" s="1"/>
  <c r="V23" i="11" s="1"/>
  <c r="F43" i="51"/>
  <c r="G43" i="51" s="1"/>
  <c r="H43" i="51" s="1"/>
  <c r="L45" i="11" s="1"/>
  <c r="G3" i="53"/>
  <c r="F23" i="51"/>
  <c r="G23" i="51" s="1"/>
  <c r="H23" i="51" s="1"/>
  <c r="L25" i="11" s="1"/>
  <c r="F22" i="51"/>
  <c r="G22" i="51" s="1"/>
  <c r="H22" i="51" s="1"/>
  <c r="L24" i="11" s="1"/>
  <c r="F16" i="60"/>
  <c r="G16" i="60" s="1"/>
  <c r="H16" i="60" s="1"/>
  <c r="V18" i="11" s="1"/>
  <c r="F45" i="51"/>
  <c r="G45" i="51" s="1"/>
  <c r="H45" i="51" s="1"/>
  <c r="L47" i="11" s="1"/>
  <c r="F44" i="51"/>
  <c r="G44" i="51" s="1"/>
  <c r="H44" i="51" s="1"/>
  <c r="L46" i="11" s="1"/>
  <c r="F46" i="60"/>
  <c r="G46" i="60" s="1"/>
  <c r="H46" i="60" s="1"/>
  <c r="V48" i="11" s="1"/>
  <c r="F24" i="51"/>
  <c r="G24" i="51" s="1"/>
  <c r="H24" i="51" s="1"/>
  <c r="L26" i="11" s="1"/>
  <c r="F9" i="60"/>
  <c r="G9" i="60" s="1"/>
  <c r="H9" i="60" s="1"/>
  <c r="V11" i="11" s="1"/>
  <c r="F26" i="51"/>
  <c r="G26" i="51" s="1"/>
  <c r="H26" i="51" s="1"/>
  <c r="L28" i="11" s="1"/>
  <c r="F30" i="60"/>
  <c r="G30" i="60" s="1"/>
  <c r="H30" i="60" s="1"/>
  <c r="V32" i="11" s="1"/>
  <c r="F11" i="51"/>
  <c r="G11" i="51" s="1"/>
  <c r="H11" i="51" s="1"/>
  <c r="L13" i="11" s="1"/>
  <c r="F31" i="60"/>
  <c r="G31" i="60" s="1"/>
  <c r="H31" i="60" s="1"/>
  <c r="V33" i="11" s="1"/>
  <c r="F53" i="60"/>
  <c r="G53" i="60" s="1"/>
  <c r="H53" i="60" s="1"/>
  <c r="V55" i="11" s="1"/>
  <c r="F7" i="51"/>
  <c r="G7" i="51" s="1"/>
  <c r="H7" i="51" s="1"/>
  <c r="L9" i="11" s="1"/>
  <c r="F35" i="60"/>
  <c r="G35" i="60" s="1"/>
  <c r="H35" i="60" s="1"/>
  <c r="V37" i="11" s="1"/>
  <c r="F40" i="60"/>
  <c r="G40" i="60" s="1"/>
  <c r="H40" i="60" s="1"/>
  <c r="V42" i="11" s="1"/>
  <c r="F33" i="51"/>
  <c r="G33" i="51" s="1"/>
  <c r="H33" i="51" s="1"/>
  <c r="L35" i="11" s="1"/>
  <c r="F16" i="51"/>
  <c r="G16" i="51" s="1"/>
  <c r="H16" i="51" s="1"/>
  <c r="L18" i="11" s="1"/>
  <c r="F12" i="60"/>
  <c r="G12" i="60" s="1"/>
  <c r="H12" i="60" s="1"/>
  <c r="V14" i="11" s="1"/>
  <c r="F27" i="57"/>
  <c r="G27" i="57" s="1"/>
  <c r="H27" i="57" s="1"/>
  <c r="P29" i="11" s="1"/>
  <c r="F32" i="57"/>
  <c r="G32" i="57" s="1"/>
  <c r="H32" i="57" s="1"/>
  <c r="P34" i="11" s="1"/>
  <c r="F17" i="57"/>
  <c r="G17" i="57" s="1"/>
  <c r="H17" i="57" s="1"/>
  <c r="P19" i="11" s="1"/>
  <c r="F9" i="57"/>
  <c r="G9" i="57" s="1"/>
  <c r="H9" i="57" s="1"/>
  <c r="P11" i="11" s="1"/>
  <c r="F47" i="57"/>
  <c r="G47" i="57" s="1"/>
  <c r="H47" i="57" s="1"/>
  <c r="P49" i="11" s="1"/>
  <c r="F32" i="53"/>
  <c r="G32" i="53" s="1"/>
  <c r="H32" i="53" s="1"/>
  <c r="N34" i="11" s="1"/>
  <c r="F45" i="53"/>
  <c r="G45" i="53" s="1"/>
  <c r="H45" i="53" s="1"/>
  <c r="N47" i="11" s="1"/>
  <c r="F39" i="10"/>
  <c r="G39" i="10" s="1"/>
  <c r="H39" i="10" s="1"/>
  <c r="B41" i="11" s="1"/>
  <c r="F22" i="58"/>
  <c r="G22" i="58" s="1"/>
  <c r="H22" i="58" s="1"/>
  <c r="Q24" i="11" s="1"/>
  <c r="F42" i="53"/>
  <c r="G42" i="53" s="1"/>
  <c r="H42" i="53" s="1"/>
  <c r="N44" i="11" s="1"/>
  <c r="F45" i="62"/>
  <c r="G45" i="62" s="1"/>
  <c r="H45" i="62" s="1"/>
  <c r="X47" i="11" s="1"/>
  <c r="F12" i="63"/>
  <c r="G12" i="63" s="1"/>
  <c r="H12" i="63" s="1"/>
  <c r="Y14" i="11" s="1"/>
  <c r="F48" i="53"/>
  <c r="G48" i="53" s="1"/>
  <c r="H48" i="53" s="1"/>
  <c r="N50" i="11" s="1"/>
  <c r="F24" i="53"/>
  <c r="G24" i="53" s="1"/>
  <c r="H24" i="53" s="1"/>
  <c r="N26" i="11" s="1"/>
  <c r="F39" i="53"/>
  <c r="G39" i="53" s="1"/>
  <c r="H39" i="53" s="1"/>
  <c r="N41" i="11" s="1"/>
  <c r="F30" i="64"/>
  <c r="G30" i="64" s="1"/>
  <c r="H30" i="64" s="1"/>
  <c r="Z32" i="11" s="1"/>
  <c r="F14" i="63"/>
  <c r="G14" i="63" s="1"/>
  <c r="H14" i="63" s="1"/>
  <c r="Y16" i="11" s="1"/>
  <c r="F7" i="53"/>
  <c r="G7" i="53" s="1"/>
  <c r="H7" i="53" s="1"/>
  <c r="N9" i="11" s="1"/>
  <c r="F12" i="53"/>
  <c r="G12" i="53" s="1"/>
  <c r="H12" i="53" s="1"/>
  <c r="N14" i="11" s="1"/>
  <c r="F27" i="62"/>
  <c r="G27" i="62" s="1"/>
  <c r="H27" i="62" s="1"/>
  <c r="X29" i="11" s="1"/>
  <c r="F41" i="63"/>
  <c r="G41" i="63" s="1"/>
  <c r="H41" i="63" s="1"/>
  <c r="Y43" i="11" s="1"/>
  <c r="F37" i="57"/>
  <c r="G37" i="57" s="1"/>
  <c r="H37" i="57" s="1"/>
  <c r="P39" i="11" s="1"/>
  <c r="F45" i="64"/>
  <c r="G45" i="64" s="1"/>
  <c r="H45" i="64" s="1"/>
  <c r="Z47" i="11" s="1"/>
  <c r="F8" i="57"/>
  <c r="G8" i="57" s="1"/>
  <c r="H8" i="57" s="1"/>
  <c r="P10" i="11" s="1"/>
  <c r="F41" i="57"/>
  <c r="G41" i="57" s="1"/>
  <c r="H41" i="57" s="1"/>
  <c r="P43" i="11" s="1"/>
  <c r="F37" i="10"/>
  <c r="G37" i="10" s="1"/>
  <c r="H37" i="10" s="1"/>
  <c r="B39" i="11" s="1"/>
  <c r="F19" i="57"/>
  <c r="G19" i="57" s="1"/>
  <c r="H19" i="57" s="1"/>
  <c r="P21" i="11" s="1"/>
  <c r="F18" i="51"/>
  <c r="G18" i="51" s="1"/>
  <c r="H18" i="51" s="1"/>
  <c r="L20" i="11" s="1"/>
  <c r="F39" i="51"/>
  <c r="G39" i="51" s="1"/>
  <c r="H39" i="51" s="1"/>
  <c r="L41" i="11" s="1"/>
  <c r="F14" i="51"/>
  <c r="G14" i="51" s="1"/>
  <c r="H14" i="51" s="1"/>
  <c r="L16" i="11" s="1"/>
  <c r="F22" i="60"/>
  <c r="G22" i="60" s="1"/>
  <c r="H22" i="60" s="1"/>
  <c r="V24" i="11" s="1"/>
  <c r="F9" i="51"/>
  <c r="G9" i="51" s="1"/>
  <c r="H9" i="51" s="1"/>
  <c r="L11" i="11" s="1"/>
  <c r="F50" i="51"/>
  <c r="G50" i="51" s="1"/>
  <c r="H50" i="51" s="1"/>
  <c r="L52" i="11" s="1"/>
  <c r="F46" i="51"/>
  <c r="G46" i="51" s="1"/>
  <c r="H46" i="51" s="1"/>
  <c r="L48" i="11" s="1"/>
  <c r="F52" i="51"/>
  <c r="G52" i="51" s="1"/>
  <c r="H52" i="51" s="1"/>
  <c r="L54" i="11" s="1"/>
  <c r="F35" i="51"/>
  <c r="G35" i="51" s="1"/>
  <c r="H35" i="51" s="1"/>
  <c r="L37" i="11" s="1"/>
  <c r="F30" i="51"/>
  <c r="G30" i="51" s="1"/>
  <c r="H30" i="51" s="1"/>
  <c r="L32" i="11" s="1"/>
  <c r="F51" i="51"/>
  <c r="G51" i="51" s="1"/>
  <c r="H51" i="51" s="1"/>
  <c r="L53" i="11" s="1"/>
  <c r="F34" i="51"/>
  <c r="G34" i="51" s="1"/>
  <c r="H34" i="51" s="1"/>
  <c r="L36" i="11" s="1"/>
  <c r="F24" i="60"/>
  <c r="G24" i="60" s="1"/>
  <c r="H24" i="60" s="1"/>
  <c r="V26" i="11" s="1"/>
  <c r="F41" i="60"/>
  <c r="G41" i="60" s="1"/>
  <c r="H41" i="60" s="1"/>
  <c r="V43" i="11" s="1"/>
  <c r="F11" i="60"/>
  <c r="G11" i="60" s="1"/>
  <c r="H11" i="60" s="1"/>
  <c r="V13" i="11" s="1"/>
  <c r="F18" i="60"/>
  <c r="G18" i="60" s="1"/>
  <c r="H18" i="60" s="1"/>
  <c r="V20" i="11" s="1"/>
  <c r="F15" i="60"/>
  <c r="G15" i="60" s="1"/>
  <c r="H15" i="60" s="1"/>
  <c r="V17" i="11" s="1"/>
  <c r="F47" i="60"/>
  <c r="G47" i="60" s="1"/>
  <c r="H47" i="60" s="1"/>
  <c r="V49" i="11" s="1"/>
  <c r="F32" i="60"/>
  <c r="G32" i="60" s="1"/>
  <c r="H32" i="60" s="1"/>
  <c r="V34" i="11" s="1"/>
  <c r="F35" i="57"/>
  <c r="G35" i="57" s="1"/>
  <c r="H35" i="57" s="1"/>
  <c r="P37" i="11" s="1"/>
  <c r="F41" i="51"/>
  <c r="G41" i="51" s="1"/>
  <c r="H41" i="51" s="1"/>
  <c r="L43" i="11" s="1"/>
  <c r="F31" i="51"/>
  <c r="G31" i="51" s="1"/>
  <c r="H31" i="51" s="1"/>
  <c r="L33" i="11" s="1"/>
  <c r="F12" i="51"/>
  <c r="G12" i="51" s="1"/>
  <c r="H12" i="51" s="1"/>
  <c r="L14" i="11" s="1"/>
  <c r="F43" i="60"/>
  <c r="G43" i="60" s="1"/>
  <c r="H43" i="60" s="1"/>
  <c r="V45" i="11" s="1"/>
  <c r="F44" i="60"/>
  <c r="G44" i="60" s="1"/>
  <c r="H44" i="60" s="1"/>
  <c r="V46" i="11" s="1"/>
  <c r="F50" i="60"/>
  <c r="G50" i="60" s="1"/>
  <c r="H50" i="60" s="1"/>
  <c r="V52" i="11" s="1"/>
  <c r="F14" i="60"/>
  <c r="G14" i="60" s="1"/>
  <c r="H14" i="60" s="1"/>
  <c r="V16" i="11" s="1"/>
  <c r="F34" i="60"/>
  <c r="G34" i="60" s="1"/>
  <c r="H34" i="60" s="1"/>
  <c r="V36" i="11" s="1"/>
  <c r="F39" i="60"/>
  <c r="G39" i="60" s="1"/>
  <c r="H39" i="60" s="1"/>
  <c r="V41" i="11" s="1"/>
  <c r="F40" i="64"/>
  <c r="G40" i="64" s="1"/>
  <c r="H40" i="64" s="1"/>
  <c r="Z42" i="11" s="1"/>
  <c r="F27" i="51"/>
  <c r="G27" i="51" s="1"/>
  <c r="H27" i="51" s="1"/>
  <c r="L29" i="11" s="1"/>
  <c r="F13" i="51"/>
  <c r="G13" i="51" s="1"/>
  <c r="H13" i="51" s="1"/>
  <c r="L15" i="11" s="1"/>
  <c r="F21" i="51"/>
  <c r="G21" i="51" s="1"/>
  <c r="H21" i="51" s="1"/>
  <c r="L23" i="11" s="1"/>
  <c r="F17" i="51"/>
  <c r="G17" i="51" s="1"/>
  <c r="H17" i="51" s="1"/>
  <c r="L19" i="11" s="1"/>
  <c r="F37" i="51"/>
  <c r="G37" i="51" s="1"/>
  <c r="H37" i="51" s="1"/>
  <c r="L39" i="11" s="1"/>
  <c r="F47" i="51"/>
  <c r="G47" i="51" s="1"/>
  <c r="H47" i="51" s="1"/>
  <c r="L49" i="11" s="1"/>
  <c r="F8" i="51"/>
  <c r="G8" i="51" s="1"/>
  <c r="H8" i="51" s="1"/>
  <c r="L10" i="11" s="1"/>
  <c r="F38" i="51"/>
  <c r="G38" i="51" s="1"/>
  <c r="H38" i="51" s="1"/>
  <c r="L40" i="11" s="1"/>
  <c r="F13" i="60"/>
  <c r="G13" i="60" s="1"/>
  <c r="H13" i="60" s="1"/>
  <c r="V15" i="11" s="1"/>
  <c r="F27" i="60"/>
  <c r="G27" i="60" s="1"/>
  <c r="H27" i="60" s="1"/>
  <c r="V29" i="11" s="1"/>
  <c r="F7" i="60"/>
  <c r="G7" i="60" s="1"/>
  <c r="H7" i="60" s="1"/>
  <c r="V9" i="11" s="1"/>
  <c r="F20" i="60"/>
  <c r="G20" i="60" s="1"/>
  <c r="H20" i="60" s="1"/>
  <c r="V22" i="11" s="1"/>
  <c r="F5" i="60"/>
  <c r="G5" i="60" s="1"/>
  <c r="H5" i="60" s="1"/>
  <c r="V7" i="11" s="1"/>
  <c r="F48" i="57"/>
  <c r="G48" i="57" s="1"/>
  <c r="H48" i="57" s="1"/>
  <c r="P50" i="11" s="1"/>
  <c r="F50" i="57"/>
  <c r="G50" i="57" s="1"/>
  <c r="H50" i="57" s="1"/>
  <c r="P52" i="11" s="1"/>
  <c r="F10" i="51"/>
  <c r="G10" i="51" s="1"/>
  <c r="H10" i="51" s="1"/>
  <c r="L12" i="11" s="1"/>
  <c r="F20" i="51"/>
  <c r="G20" i="51" s="1"/>
  <c r="H20" i="51" s="1"/>
  <c r="L22" i="11" s="1"/>
  <c r="F32" i="51"/>
  <c r="G32" i="51" s="1"/>
  <c r="H32" i="51" s="1"/>
  <c r="L34" i="11" s="1"/>
  <c r="F49" i="60"/>
  <c r="G49" i="60" s="1"/>
  <c r="H49" i="60" s="1"/>
  <c r="V51" i="11" s="1"/>
  <c r="F23" i="60"/>
  <c r="G23" i="60" s="1"/>
  <c r="H23" i="60" s="1"/>
  <c r="V25" i="11" s="1"/>
  <c r="F38" i="60"/>
  <c r="G38" i="60" s="1"/>
  <c r="H38" i="60" s="1"/>
  <c r="V40" i="11" s="1"/>
  <c r="F15" i="51"/>
  <c r="G15" i="51" s="1"/>
  <c r="H15" i="51" s="1"/>
  <c r="L17" i="11" s="1"/>
  <c r="F53" i="51"/>
  <c r="G53" i="51" s="1"/>
  <c r="H53" i="51" s="1"/>
  <c r="L55" i="11" s="1"/>
  <c r="F26" i="60"/>
  <c r="G26" i="60" s="1"/>
  <c r="H26" i="60" s="1"/>
  <c r="V28" i="11" s="1"/>
  <c r="F37" i="60"/>
  <c r="G37" i="60" s="1"/>
  <c r="H37" i="60" s="1"/>
  <c r="V39" i="11" s="1"/>
  <c r="F36" i="60"/>
  <c r="G36" i="60" s="1"/>
  <c r="H36" i="60" s="1"/>
  <c r="V38" i="11" s="1"/>
  <c r="F45" i="60"/>
  <c r="G45" i="60" s="1"/>
  <c r="H45" i="60" s="1"/>
  <c r="V47" i="11" s="1"/>
  <c r="F42" i="60"/>
  <c r="G42" i="60" s="1"/>
  <c r="H42" i="60" s="1"/>
  <c r="V44" i="11" s="1"/>
  <c r="F6" i="60"/>
  <c r="G6" i="60" s="1"/>
  <c r="H6" i="60" s="1"/>
  <c r="V8" i="11" s="1"/>
  <c r="F49" i="64"/>
  <c r="G49" i="64" s="1"/>
  <c r="H49" i="64" s="1"/>
  <c r="Z51" i="11" s="1"/>
  <c r="F42" i="51"/>
  <c r="G42" i="51" s="1"/>
  <c r="H42" i="51" s="1"/>
  <c r="L44" i="11" s="1"/>
  <c r="F40" i="51"/>
  <c r="G40" i="51" s="1"/>
  <c r="H40" i="51" s="1"/>
  <c r="L42" i="11" s="1"/>
  <c r="F5" i="51"/>
  <c r="G5" i="51" s="1"/>
  <c r="H5" i="51" s="1"/>
  <c r="L7" i="11" s="1"/>
  <c r="F52" i="60"/>
  <c r="G52" i="60" s="1"/>
  <c r="H52" i="60" s="1"/>
  <c r="V54" i="11" s="1"/>
  <c r="F8" i="60"/>
  <c r="G8" i="60" s="1"/>
  <c r="H8" i="60" s="1"/>
  <c r="V10" i="11" s="1"/>
  <c r="F17" i="60"/>
  <c r="G17" i="60" s="1"/>
  <c r="H17" i="60" s="1"/>
  <c r="V19" i="11" s="1"/>
  <c r="F29" i="51"/>
  <c r="G29" i="51" s="1"/>
  <c r="H29" i="51" s="1"/>
  <c r="L31" i="11" s="1"/>
  <c r="F36" i="51"/>
  <c r="G36" i="51" s="1"/>
  <c r="H36" i="51" s="1"/>
  <c r="L38" i="11" s="1"/>
  <c r="F6" i="51"/>
  <c r="G6" i="51" s="1"/>
  <c r="H6" i="51" s="1"/>
  <c r="L8" i="11" s="1"/>
  <c r="F19" i="51"/>
  <c r="G19" i="51" s="1"/>
  <c r="H19" i="51" s="1"/>
  <c r="L21" i="11" s="1"/>
  <c r="F47" i="54"/>
  <c r="G47" i="54" s="1"/>
  <c r="H47" i="54" s="1"/>
  <c r="O49" i="11" s="1"/>
  <c r="F51" i="52"/>
  <c r="G51" i="52" s="1"/>
  <c r="H51" i="52" s="1"/>
  <c r="M53" i="11" s="1"/>
  <c r="F28" i="51"/>
  <c r="G28" i="51" s="1"/>
  <c r="H28" i="51" s="1"/>
  <c r="L30" i="11" s="1"/>
  <c r="F48" i="51"/>
  <c r="G48" i="51" s="1"/>
  <c r="H48" i="51" s="1"/>
  <c r="L50" i="11" s="1"/>
  <c r="F19" i="60"/>
  <c r="G19" i="60" s="1"/>
  <c r="H19" i="60" s="1"/>
  <c r="V21" i="11" s="1"/>
  <c r="F10" i="60"/>
  <c r="G10" i="60" s="1"/>
  <c r="H10" i="60" s="1"/>
  <c r="V12" i="11" s="1"/>
  <c r="F33" i="60"/>
  <c r="G33" i="60" s="1"/>
  <c r="H33" i="60" s="1"/>
  <c r="V35" i="11" s="1"/>
  <c r="F28" i="60"/>
  <c r="G28" i="60" s="1"/>
  <c r="H28" i="60" s="1"/>
  <c r="V30" i="11" s="1"/>
  <c r="F29" i="60"/>
  <c r="G29" i="60" s="1"/>
  <c r="H29" i="60" s="1"/>
  <c r="V31" i="11" s="1"/>
  <c r="F51" i="60"/>
  <c r="G51" i="60" s="1"/>
  <c r="H51" i="60" s="1"/>
  <c r="V53" i="11" s="1"/>
  <c r="F14" i="57"/>
  <c r="G14" i="57" s="1"/>
  <c r="H14" i="57" s="1"/>
  <c r="P16" i="11" s="1"/>
  <c r="F36" i="64"/>
  <c r="G36" i="64" s="1"/>
  <c r="H36" i="64" s="1"/>
  <c r="Z38" i="11" s="1"/>
  <c r="F13" i="58"/>
  <c r="G13" i="58" s="1"/>
  <c r="H13" i="58" s="1"/>
  <c r="Q15" i="11" s="1"/>
  <c r="F16" i="58"/>
  <c r="G16" i="58" s="1"/>
  <c r="H16" i="58" s="1"/>
  <c r="Q18" i="11" s="1"/>
  <c r="F15" i="62"/>
  <c r="G15" i="62" s="1"/>
  <c r="H15" i="62" s="1"/>
  <c r="X17" i="11" s="1"/>
  <c r="F42" i="62"/>
  <c r="G42" i="62" s="1"/>
  <c r="H42" i="62" s="1"/>
  <c r="X44" i="11" s="1"/>
  <c r="F36" i="58"/>
  <c r="G36" i="58" s="1"/>
  <c r="H36" i="58" s="1"/>
  <c r="Q38" i="11" s="1"/>
  <c r="F17" i="64"/>
  <c r="G17" i="64" s="1"/>
  <c r="H17" i="64" s="1"/>
  <c r="Z19" i="11" s="1"/>
  <c r="F28" i="62"/>
  <c r="G28" i="62" s="1"/>
  <c r="H28" i="62" s="1"/>
  <c r="X30" i="11" s="1"/>
  <c r="F21" i="62"/>
  <c r="G21" i="62" s="1"/>
  <c r="H21" i="62" s="1"/>
  <c r="X23" i="11" s="1"/>
  <c r="F44" i="58"/>
  <c r="G44" i="58" s="1"/>
  <c r="H44" i="58" s="1"/>
  <c r="Q46" i="11" s="1"/>
  <c r="F52" i="64"/>
  <c r="G52" i="64" s="1"/>
  <c r="H52" i="64" s="1"/>
  <c r="Z54" i="11" s="1"/>
  <c r="F6" i="53"/>
  <c r="G6" i="53" s="1"/>
  <c r="H6" i="53" s="1"/>
  <c r="N8" i="11" s="1"/>
  <c r="F53" i="53"/>
  <c r="G53" i="53" s="1"/>
  <c r="H53" i="53" s="1"/>
  <c r="N55" i="11" s="1"/>
  <c r="F28" i="53"/>
  <c r="G28" i="53" s="1"/>
  <c r="H28" i="53" s="1"/>
  <c r="N30" i="11" s="1"/>
  <c r="F46" i="62"/>
  <c r="G46" i="62" s="1"/>
  <c r="H46" i="62" s="1"/>
  <c r="X48" i="11" s="1"/>
  <c r="F10" i="62"/>
  <c r="G10" i="62" s="1"/>
  <c r="H10" i="62" s="1"/>
  <c r="X12" i="11" s="1"/>
  <c r="F19" i="53"/>
  <c r="G19" i="53" s="1"/>
  <c r="H19" i="53" s="1"/>
  <c r="N21" i="11" s="1"/>
  <c r="F37" i="53"/>
  <c r="G37" i="53" s="1"/>
  <c r="H37" i="53" s="1"/>
  <c r="N39" i="11" s="1"/>
  <c r="F16" i="53"/>
  <c r="G16" i="53" s="1"/>
  <c r="H16" i="53" s="1"/>
  <c r="N18" i="11" s="1"/>
  <c r="F10" i="53"/>
  <c r="G10" i="53" s="1"/>
  <c r="H10" i="53" s="1"/>
  <c r="N12" i="11" s="1"/>
  <c r="F47" i="53"/>
  <c r="G47" i="53" s="1"/>
  <c r="H47" i="53" s="1"/>
  <c r="N49" i="11" s="1"/>
  <c r="F43" i="62"/>
  <c r="G43" i="62" s="1"/>
  <c r="H43" i="62" s="1"/>
  <c r="X45" i="11" s="1"/>
  <c r="F36" i="62"/>
  <c r="G36" i="62" s="1"/>
  <c r="H36" i="62" s="1"/>
  <c r="X38" i="11" s="1"/>
  <c r="F16" i="63"/>
  <c r="G16" i="63" s="1"/>
  <c r="H16" i="63" s="1"/>
  <c r="Y18" i="11" s="1"/>
  <c r="F36" i="53"/>
  <c r="G36" i="53" s="1"/>
  <c r="H36" i="53" s="1"/>
  <c r="N38" i="11" s="1"/>
  <c r="F53" i="62"/>
  <c r="G53" i="62" s="1"/>
  <c r="H53" i="62" s="1"/>
  <c r="X55" i="11" s="1"/>
  <c r="F49" i="62"/>
  <c r="G49" i="62" s="1"/>
  <c r="H49" i="62" s="1"/>
  <c r="X51" i="11" s="1"/>
  <c r="F14" i="53"/>
  <c r="G14" i="53" s="1"/>
  <c r="H14" i="53" s="1"/>
  <c r="N16" i="11" s="1"/>
  <c r="F29" i="53"/>
  <c r="G29" i="53" s="1"/>
  <c r="H29" i="53" s="1"/>
  <c r="N31" i="11" s="1"/>
  <c r="F22" i="53"/>
  <c r="G22" i="53" s="1"/>
  <c r="H22" i="53" s="1"/>
  <c r="N24" i="11" s="1"/>
  <c r="F13" i="53"/>
  <c r="G13" i="53" s="1"/>
  <c r="H13" i="53" s="1"/>
  <c r="N15" i="11" s="1"/>
  <c r="F26" i="62"/>
  <c r="G26" i="62" s="1"/>
  <c r="H26" i="62" s="1"/>
  <c r="X28" i="11" s="1"/>
  <c r="F34" i="62"/>
  <c r="G34" i="62" s="1"/>
  <c r="H34" i="62" s="1"/>
  <c r="X36" i="11" s="1"/>
  <c r="F16" i="62"/>
  <c r="G16" i="62" s="1"/>
  <c r="H16" i="62" s="1"/>
  <c r="X18" i="11" s="1"/>
  <c r="F53" i="63"/>
  <c r="G53" i="63" s="1"/>
  <c r="H53" i="63" s="1"/>
  <c r="Y55" i="11" s="1"/>
  <c r="G56" i="13"/>
  <c r="F11" i="53"/>
  <c r="G11" i="53" s="1"/>
  <c r="H11" i="53" s="1"/>
  <c r="N13" i="11" s="1"/>
  <c r="F30" i="53"/>
  <c r="G30" i="53" s="1"/>
  <c r="H30" i="53" s="1"/>
  <c r="N32" i="11" s="1"/>
  <c r="F31" i="53"/>
  <c r="G31" i="53" s="1"/>
  <c r="H31" i="53" s="1"/>
  <c r="N33" i="11" s="1"/>
  <c r="F9" i="62"/>
  <c r="G9" i="62" s="1"/>
  <c r="H9" i="62" s="1"/>
  <c r="X11" i="11" s="1"/>
  <c r="F7" i="62"/>
  <c r="G7" i="62" s="1"/>
  <c r="H7" i="62" s="1"/>
  <c r="X9" i="11" s="1"/>
  <c r="K107" i="11"/>
  <c r="K109" i="11" s="1"/>
  <c r="F33" i="53"/>
  <c r="G33" i="53" s="1"/>
  <c r="H33" i="53" s="1"/>
  <c r="N35" i="11" s="1"/>
  <c r="F18" i="53"/>
  <c r="G18" i="53" s="1"/>
  <c r="H18" i="53" s="1"/>
  <c r="N20" i="11" s="1"/>
  <c r="F38" i="53"/>
  <c r="G38" i="53" s="1"/>
  <c r="H38" i="53" s="1"/>
  <c r="N40" i="11" s="1"/>
  <c r="F20" i="53"/>
  <c r="G20" i="53" s="1"/>
  <c r="H20" i="53" s="1"/>
  <c r="N22" i="11" s="1"/>
  <c r="F33" i="62"/>
  <c r="G33" i="62" s="1"/>
  <c r="H33" i="62" s="1"/>
  <c r="X35" i="11" s="1"/>
  <c r="F32" i="62"/>
  <c r="G32" i="62" s="1"/>
  <c r="H32" i="62" s="1"/>
  <c r="X34" i="11" s="1"/>
  <c r="F38" i="62"/>
  <c r="G38" i="62" s="1"/>
  <c r="H38" i="62" s="1"/>
  <c r="X40" i="11" s="1"/>
  <c r="F26" i="53"/>
  <c r="G26" i="53" s="1"/>
  <c r="H26" i="53" s="1"/>
  <c r="N28" i="11" s="1"/>
  <c r="F5" i="53"/>
  <c r="G5" i="53" s="1"/>
  <c r="H5" i="53" s="1"/>
  <c r="N7" i="11" s="1"/>
  <c r="F40" i="62"/>
  <c r="G40" i="62" s="1"/>
  <c r="H40" i="62" s="1"/>
  <c r="X42" i="11" s="1"/>
  <c r="F52" i="62"/>
  <c r="G52" i="62" s="1"/>
  <c r="H52" i="62" s="1"/>
  <c r="X54" i="11" s="1"/>
  <c r="F21" i="53"/>
  <c r="G21" i="53" s="1"/>
  <c r="H21" i="53" s="1"/>
  <c r="N23" i="11" s="1"/>
  <c r="F41" i="54"/>
  <c r="G41" i="54" s="1"/>
  <c r="H41" i="54" s="1"/>
  <c r="O43" i="11" s="1"/>
  <c r="F51" i="53"/>
  <c r="G51" i="53" s="1"/>
  <c r="H51" i="53" s="1"/>
  <c r="N53" i="11" s="1"/>
  <c r="F15" i="53"/>
  <c r="G15" i="53" s="1"/>
  <c r="H15" i="53" s="1"/>
  <c r="N17" i="11" s="1"/>
  <c r="F47" i="62"/>
  <c r="G47" i="62" s="1"/>
  <c r="H47" i="62" s="1"/>
  <c r="X49" i="11" s="1"/>
  <c r="F48" i="62"/>
  <c r="G48" i="62" s="1"/>
  <c r="H48" i="62" s="1"/>
  <c r="X50" i="11" s="1"/>
  <c r="F6" i="62"/>
  <c r="G6" i="62" s="1"/>
  <c r="H6" i="62" s="1"/>
  <c r="X8" i="11" s="1"/>
  <c r="G3" i="61"/>
  <c r="H56" i="13"/>
  <c r="F24" i="58"/>
  <c r="G24" i="58" s="1"/>
  <c r="H24" i="58" s="1"/>
  <c r="Q26" i="11" s="1"/>
  <c r="F25" i="58"/>
  <c r="G25" i="58" s="1"/>
  <c r="H25" i="58" s="1"/>
  <c r="Q27" i="11" s="1"/>
  <c r="F53" i="58"/>
  <c r="G53" i="58" s="1"/>
  <c r="H53" i="58" s="1"/>
  <c r="Q55" i="11" s="1"/>
  <c r="F8" i="58"/>
  <c r="G8" i="58" s="1"/>
  <c r="H8" i="58" s="1"/>
  <c r="Q10" i="11" s="1"/>
  <c r="F33" i="58"/>
  <c r="G33" i="58" s="1"/>
  <c r="H33" i="58" s="1"/>
  <c r="Q35" i="11" s="1"/>
  <c r="F11" i="58"/>
  <c r="G11" i="58" s="1"/>
  <c r="H11" i="58" s="1"/>
  <c r="Q13" i="11" s="1"/>
  <c r="F9" i="58"/>
  <c r="G9" i="58" s="1"/>
  <c r="H9" i="58" s="1"/>
  <c r="Q11" i="11" s="1"/>
  <c r="F35" i="62"/>
  <c r="G35" i="62" s="1"/>
  <c r="H35" i="62" s="1"/>
  <c r="X37" i="11" s="1"/>
  <c r="F15" i="58"/>
  <c r="G15" i="58" s="1"/>
  <c r="H15" i="58" s="1"/>
  <c r="Q17" i="11" s="1"/>
  <c r="F29" i="58"/>
  <c r="G29" i="58" s="1"/>
  <c r="H29" i="58" s="1"/>
  <c r="Q31" i="11" s="1"/>
  <c r="F34" i="58"/>
  <c r="G34" i="58" s="1"/>
  <c r="H34" i="58" s="1"/>
  <c r="Q36" i="11" s="1"/>
  <c r="F52" i="58"/>
  <c r="G52" i="58" s="1"/>
  <c r="H52" i="58" s="1"/>
  <c r="Q54" i="11" s="1"/>
  <c r="F10" i="58"/>
  <c r="G10" i="58" s="1"/>
  <c r="H10" i="58" s="1"/>
  <c r="Q12" i="11" s="1"/>
  <c r="F51" i="58"/>
  <c r="G51" i="58" s="1"/>
  <c r="H51" i="58" s="1"/>
  <c r="Q53" i="11" s="1"/>
  <c r="F31" i="59"/>
  <c r="G31" i="59" s="1"/>
  <c r="H31" i="59" s="1"/>
  <c r="U33" i="11" s="1"/>
  <c r="F40" i="58"/>
  <c r="G40" i="58" s="1"/>
  <c r="H40" i="58" s="1"/>
  <c r="Q42" i="11" s="1"/>
  <c r="F14" i="58"/>
  <c r="G14" i="58" s="1"/>
  <c r="H14" i="58" s="1"/>
  <c r="Q16" i="11" s="1"/>
  <c r="F27" i="58"/>
  <c r="G27" i="58" s="1"/>
  <c r="H27" i="58" s="1"/>
  <c r="Q29" i="11" s="1"/>
  <c r="F5" i="58"/>
  <c r="G5" i="58" s="1"/>
  <c r="H5" i="58" s="1"/>
  <c r="Q7" i="11" s="1"/>
  <c r="F47" i="58"/>
  <c r="G47" i="58" s="1"/>
  <c r="H47" i="58" s="1"/>
  <c r="Q49" i="11" s="1"/>
  <c r="F20" i="58"/>
  <c r="G20" i="58" s="1"/>
  <c r="H20" i="58" s="1"/>
  <c r="Q22" i="11" s="1"/>
  <c r="F22" i="59"/>
  <c r="G22" i="59" s="1"/>
  <c r="H22" i="59" s="1"/>
  <c r="U24" i="11" s="1"/>
  <c r="H55" i="13"/>
  <c r="AQ18" i="7" s="1"/>
  <c r="F6" i="58"/>
  <c r="G6" i="58" s="1"/>
  <c r="H6" i="58" s="1"/>
  <c r="Q8" i="11" s="1"/>
  <c r="F45" i="58"/>
  <c r="G45" i="58" s="1"/>
  <c r="H45" i="58" s="1"/>
  <c r="Q47" i="11" s="1"/>
  <c r="F43" i="58"/>
  <c r="G43" i="58" s="1"/>
  <c r="H43" i="58" s="1"/>
  <c r="Q45" i="11" s="1"/>
  <c r="F28" i="58"/>
  <c r="G28" i="58" s="1"/>
  <c r="H28" i="58" s="1"/>
  <c r="Q30" i="11" s="1"/>
  <c r="F49" i="58"/>
  <c r="G49" i="58" s="1"/>
  <c r="H49" i="58" s="1"/>
  <c r="Q51" i="11" s="1"/>
  <c r="F42" i="58"/>
  <c r="G42" i="58" s="1"/>
  <c r="H42" i="58" s="1"/>
  <c r="Q44" i="11" s="1"/>
  <c r="F48" i="58"/>
  <c r="G48" i="58" s="1"/>
  <c r="H48" i="58" s="1"/>
  <c r="Q50" i="11" s="1"/>
  <c r="F23" i="58"/>
  <c r="G23" i="58" s="1"/>
  <c r="H23" i="58" s="1"/>
  <c r="Q25" i="11" s="1"/>
  <c r="F39" i="58"/>
  <c r="G39" i="58" s="1"/>
  <c r="H39" i="58" s="1"/>
  <c r="Q41" i="11" s="1"/>
  <c r="F10" i="59"/>
  <c r="G10" i="59" s="1"/>
  <c r="H10" i="59" s="1"/>
  <c r="U12" i="11" s="1"/>
  <c r="F3" i="40"/>
  <c r="G3" i="40" s="1"/>
  <c r="F3" i="38"/>
  <c r="G3" i="38" s="1"/>
  <c r="D13" i="39"/>
  <c r="E13" i="39" s="1"/>
  <c r="D25" i="39"/>
  <c r="E25" i="39" s="1"/>
  <c r="D37" i="39"/>
  <c r="E37" i="39" s="1"/>
  <c r="D53" i="39"/>
  <c r="E53" i="39" s="1"/>
  <c r="D14" i="39"/>
  <c r="E14" i="39" s="1"/>
  <c r="D30" i="39"/>
  <c r="E30" i="39" s="1"/>
  <c r="D42" i="39"/>
  <c r="E42" i="39" s="1"/>
  <c r="D15" i="39"/>
  <c r="E15" i="39" s="1"/>
  <c r="D19" i="39"/>
  <c r="E19" i="39" s="1"/>
  <c r="D27" i="39"/>
  <c r="E27" i="39" s="1"/>
  <c r="D39" i="39"/>
  <c r="E39" i="39" s="1"/>
  <c r="D51" i="39"/>
  <c r="E51" i="39" s="1"/>
  <c r="D4" i="39"/>
  <c r="D8" i="39"/>
  <c r="E8" i="39" s="1"/>
  <c r="D12" i="39"/>
  <c r="E12" i="39" s="1"/>
  <c r="D16" i="39"/>
  <c r="E16" i="39" s="1"/>
  <c r="D20" i="39"/>
  <c r="E20" i="39" s="1"/>
  <c r="D24" i="39"/>
  <c r="E24" i="39" s="1"/>
  <c r="D28" i="39"/>
  <c r="E28" i="39" s="1"/>
  <c r="D32" i="39"/>
  <c r="E32" i="39" s="1"/>
  <c r="D36" i="39"/>
  <c r="E36" i="39" s="1"/>
  <c r="D40" i="39"/>
  <c r="E40" i="39" s="1"/>
  <c r="D44" i="39"/>
  <c r="E44" i="39" s="1"/>
  <c r="D48" i="39"/>
  <c r="E48" i="39" s="1"/>
  <c r="D52" i="39"/>
  <c r="E52" i="39" s="1"/>
  <c r="D9" i="39"/>
  <c r="E9" i="39" s="1"/>
  <c r="D17" i="39"/>
  <c r="E17" i="39" s="1"/>
  <c r="D29" i="39"/>
  <c r="E29" i="39" s="1"/>
  <c r="D41" i="39"/>
  <c r="E41" i="39" s="1"/>
  <c r="D45" i="39"/>
  <c r="E45" i="39" s="1"/>
  <c r="D10" i="39"/>
  <c r="E10" i="39" s="1"/>
  <c r="D22" i="39"/>
  <c r="E22" i="39" s="1"/>
  <c r="D34" i="39"/>
  <c r="E34" i="39" s="1"/>
  <c r="D46" i="39"/>
  <c r="E46" i="39" s="1"/>
  <c r="D7" i="39"/>
  <c r="E7" i="39" s="1"/>
  <c r="D23" i="39"/>
  <c r="E23" i="39" s="1"/>
  <c r="D35" i="39"/>
  <c r="E35" i="39" s="1"/>
  <c r="D47" i="39"/>
  <c r="E47" i="39" s="1"/>
  <c r="D5" i="39"/>
  <c r="E5" i="39" s="1"/>
  <c r="D21" i="39"/>
  <c r="E21" i="39" s="1"/>
  <c r="D33" i="39"/>
  <c r="E33" i="39" s="1"/>
  <c r="D49" i="39"/>
  <c r="E49" i="39" s="1"/>
  <c r="D3" i="39"/>
  <c r="E3" i="39" s="1"/>
  <c r="D6" i="39"/>
  <c r="E6" i="39" s="1"/>
  <c r="D18" i="39"/>
  <c r="E18" i="39" s="1"/>
  <c r="D26" i="39"/>
  <c r="E26" i="39" s="1"/>
  <c r="D38" i="39"/>
  <c r="E38" i="39" s="1"/>
  <c r="D50" i="39"/>
  <c r="E50" i="39" s="1"/>
  <c r="D11" i="39"/>
  <c r="E11" i="39" s="1"/>
  <c r="D31" i="39"/>
  <c r="E31" i="39" s="1"/>
  <c r="D43" i="39"/>
  <c r="E43" i="39" s="1"/>
  <c r="F24" i="64"/>
  <c r="G24" i="64" s="1"/>
  <c r="H24" i="64" s="1"/>
  <c r="Z26" i="11" s="1"/>
  <c r="F26" i="64"/>
  <c r="G26" i="64" s="1"/>
  <c r="H26" i="64" s="1"/>
  <c r="Z28" i="11" s="1"/>
  <c r="F53" i="64"/>
  <c r="G53" i="64" s="1"/>
  <c r="H53" i="64" s="1"/>
  <c r="Z55" i="11" s="1"/>
  <c r="F37" i="64"/>
  <c r="G37" i="64" s="1"/>
  <c r="H37" i="64" s="1"/>
  <c r="Z39" i="11" s="1"/>
  <c r="F13" i="64"/>
  <c r="G13" i="64" s="1"/>
  <c r="H13" i="64" s="1"/>
  <c r="Z15" i="11" s="1"/>
  <c r="F20" i="64"/>
  <c r="G20" i="64" s="1"/>
  <c r="H20" i="64" s="1"/>
  <c r="Z22" i="11" s="1"/>
  <c r="F14" i="64"/>
  <c r="G14" i="64" s="1"/>
  <c r="H14" i="64" s="1"/>
  <c r="Z16" i="11" s="1"/>
  <c r="F38" i="64"/>
  <c r="G38" i="64" s="1"/>
  <c r="H38" i="64" s="1"/>
  <c r="Z40" i="11" s="1"/>
  <c r="F10" i="64"/>
  <c r="G10" i="64" s="1"/>
  <c r="H10" i="64" s="1"/>
  <c r="Z12" i="11" s="1"/>
  <c r="F48" i="64"/>
  <c r="G48" i="64" s="1"/>
  <c r="H48" i="64" s="1"/>
  <c r="Z50" i="11" s="1"/>
  <c r="F39" i="64"/>
  <c r="G39" i="64" s="1"/>
  <c r="H39" i="64" s="1"/>
  <c r="Z41" i="11" s="1"/>
  <c r="F6" i="64"/>
  <c r="G6" i="64" s="1"/>
  <c r="H6" i="64" s="1"/>
  <c r="Z8" i="11" s="1"/>
  <c r="F21" i="64"/>
  <c r="G21" i="64" s="1"/>
  <c r="H21" i="64" s="1"/>
  <c r="Z23" i="11" s="1"/>
  <c r="F35" i="64"/>
  <c r="G35" i="64" s="1"/>
  <c r="H35" i="64" s="1"/>
  <c r="Z37" i="11" s="1"/>
  <c r="F18" i="64"/>
  <c r="G18" i="64" s="1"/>
  <c r="H18" i="64" s="1"/>
  <c r="Z20" i="11" s="1"/>
  <c r="F33" i="64"/>
  <c r="G33" i="64" s="1"/>
  <c r="H33" i="64" s="1"/>
  <c r="Z35" i="11" s="1"/>
  <c r="F51" i="64"/>
  <c r="G51" i="64" s="1"/>
  <c r="H51" i="64" s="1"/>
  <c r="Z53" i="11" s="1"/>
  <c r="F42" i="64"/>
  <c r="G42" i="64" s="1"/>
  <c r="H42" i="64" s="1"/>
  <c r="Z44" i="11" s="1"/>
  <c r="F32" i="64"/>
  <c r="G32" i="64" s="1"/>
  <c r="H32" i="64" s="1"/>
  <c r="Z34" i="11" s="1"/>
  <c r="F22" i="64"/>
  <c r="G22" i="64" s="1"/>
  <c r="H22" i="64" s="1"/>
  <c r="Z24" i="11" s="1"/>
  <c r="F12" i="64"/>
  <c r="G12" i="64" s="1"/>
  <c r="H12" i="64" s="1"/>
  <c r="Z14" i="11" s="1"/>
  <c r="F16" i="64"/>
  <c r="G16" i="64" s="1"/>
  <c r="H16" i="64" s="1"/>
  <c r="Z18" i="11" s="1"/>
  <c r="F47" i="64"/>
  <c r="G47" i="64" s="1"/>
  <c r="H47" i="64" s="1"/>
  <c r="Z49" i="11" s="1"/>
  <c r="F15" i="64"/>
  <c r="G15" i="64" s="1"/>
  <c r="H15" i="64" s="1"/>
  <c r="Z17" i="11" s="1"/>
  <c r="F44" i="64"/>
  <c r="G44" i="64" s="1"/>
  <c r="H44" i="64" s="1"/>
  <c r="Z46" i="11" s="1"/>
  <c r="F25" i="64"/>
  <c r="G25" i="64" s="1"/>
  <c r="H25" i="64" s="1"/>
  <c r="Z27" i="11" s="1"/>
  <c r="F50" i="64"/>
  <c r="G50" i="64" s="1"/>
  <c r="H50" i="64" s="1"/>
  <c r="Z52" i="11" s="1"/>
  <c r="F34" i="64"/>
  <c r="G34" i="64" s="1"/>
  <c r="H34" i="64" s="1"/>
  <c r="Z36" i="11" s="1"/>
  <c r="F43" i="64"/>
  <c r="G43" i="64" s="1"/>
  <c r="H43" i="64" s="1"/>
  <c r="Z45" i="11" s="1"/>
  <c r="F23" i="64"/>
  <c r="G23" i="64" s="1"/>
  <c r="H23" i="64" s="1"/>
  <c r="Z25" i="11" s="1"/>
  <c r="F19" i="64"/>
  <c r="G19" i="64" s="1"/>
  <c r="H19" i="64" s="1"/>
  <c r="Z21" i="11" s="1"/>
  <c r="F9" i="64"/>
  <c r="G9" i="64" s="1"/>
  <c r="H9" i="64" s="1"/>
  <c r="Z11" i="11" s="1"/>
  <c r="G3" i="64"/>
  <c r="F31" i="64"/>
  <c r="G31" i="64" s="1"/>
  <c r="H31" i="64" s="1"/>
  <c r="Z33" i="11" s="1"/>
  <c r="F5" i="64"/>
  <c r="G5" i="64" s="1"/>
  <c r="F41" i="64"/>
  <c r="G41" i="64" s="1"/>
  <c r="H41" i="64" s="1"/>
  <c r="Z43" i="11" s="1"/>
  <c r="F7" i="64"/>
  <c r="G7" i="64" s="1"/>
  <c r="H7" i="64" s="1"/>
  <c r="Z9" i="11" s="1"/>
  <c r="F8" i="64"/>
  <c r="G8" i="64" s="1"/>
  <c r="H8" i="64" s="1"/>
  <c r="Z10" i="11" s="1"/>
  <c r="F28" i="64"/>
  <c r="G28" i="64" s="1"/>
  <c r="H28" i="64" s="1"/>
  <c r="Z30" i="11" s="1"/>
  <c r="F46" i="64"/>
  <c r="G46" i="64" s="1"/>
  <c r="H46" i="64" s="1"/>
  <c r="Z48" i="11" s="1"/>
  <c r="F27" i="64"/>
  <c r="G27" i="64" s="1"/>
  <c r="H27" i="64" s="1"/>
  <c r="Z29" i="11" s="1"/>
  <c r="F29" i="64"/>
  <c r="G29" i="64" s="1"/>
  <c r="H29" i="64" s="1"/>
  <c r="Z31" i="11" s="1"/>
  <c r="F19" i="63"/>
  <c r="G19" i="63" s="1"/>
  <c r="H19" i="63" s="1"/>
  <c r="Y21" i="11" s="1"/>
  <c r="F9" i="63"/>
  <c r="G9" i="63" s="1"/>
  <c r="H9" i="63" s="1"/>
  <c r="Y11" i="11" s="1"/>
  <c r="F26" i="63"/>
  <c r="G26" i="63" s="1"/>
  <c r="H26" i="63" s="1"/>
  <c r="Y28" i="11" s="1"/>
  <c r="F37" i="63"/>
  <c r="G37" i="63" s="1"/>
  <c r="H37" i="63" s="1"/>
  <c r="Y39" i="11" s="1"/>
  <c r="F30" i="63"/>
  <c r="G30" i="63" s="1"/>
  <c r="H30" i="63" s="1"/>
  <c r="Y32" i="11" s="1"/>
  <c r="F27" i="63"/>
  <c r="G27" i="63" s="1"/>
  <c r="H27" i="63" s="1"/>
  <c r="Y29" i="11" s="1"/>
  <c r="F24" i="63"/>
  <c r="G24" i="63" s="1"/>
  <c r="H24" i="63" s="1"/>
  <c r="Y26" i="11" s="1"/>
  <c r="F39" i="63"/>
  <c r="G39" i="63" s="1"/>
  <c r="H39" i="63" s="1"/>
  <c r="Y41" i="11" s="1"/>
  <c r="F17" i="63"/>
  <c r="G17" i="63" s="1"/>
  <c r="H17" i="63" s="1"/>
  <c r="Y19" i="11" s="1"/>
  <c r="F46" i="63"/>
  <c r="G46" i="63" s="1"/>
  <c r="H46" i="63" s="1"/>
  <c r="Y48" i="11" s="1"/>
  <c r="F23" i="63"/>
  <c r="G23" i="63" s="1"/>
  <c r="H23" i="63" s="1"/>
  <c r="Y25" i="11" s="1"/>
  <c r="F25" i="63"/>
  <c r="G25" i="63" s="1"/>
  <c r="H25" i="63" s="1"/>
  <c r="Y27" i="11" s="1"/>
  <c r="F10" i="63"/>
  <c r="G10" i="63" s="1"/>
  <c r="H10" i="63" s="1"/>
  <c r="Y12" i="11" s="1"/>
  <c r="F52" i="63"/>
  <c r="G52" i="63" s="1"/>
  <c r="H52" i="63" s="1"/>
  <c r="Y54" i="11" s="1"/>
  <c r="F20" i="63"/>
  <c r="G20" i="63" s="1"/>
  <c r="H20" i="63" s="1"/>
  <c r="Y22" i="11" s="1"/>
  <c r="F35" i="63"/>
  <c r="G35" i="63" s="1"/>
  <c r="H35" i="63" s="1"/>
  <c r="Y37" i="11" s="1"/>
  <c r="F21" i="63"/>
  <c r="G21" i="63" s="1"/>
  <c r="H21" i="63" s="1"/>
  <c r="Y23" i="11" s="1"/>
  <c r="F11" i="63"/>
  <c r="G11" i="63" s="1"/>
  <c r="H11" i="63" s="1"/>
  <c r="Y13" i="11" s="1"/>
  <c r="F28" i="63"/>
  <c r="G28" i="63" s="1"/>
  <c r="H28" i="63" s="1"/>
  <c r="Y30" i="11" s="1"/>
  <c r="F36" i="63"/>
  <c r="G36" i="63" s="1"/>
  <c r="H36" i="63" s="1"/>
  <c r="Y38" i="11" s="1"/>
  <c r="F32" i="63"/>
  <c r="G32" i="63" s="1"/>
  <c r="H32" i="63" s="1"/>
  <c r="Y34" i="11" s="1"/>
  <c r="F6" i="63"/>
  <c r="G6" i="63" s="1"/>
  <c r="H6" i="63" s="1"/>
  <c r="Y8" i="11" s="1"/>
  <c r="F50" i="63"/>
  <c r="G50" i="63" s="1"/>
  <c r="H50" i="63" s="1"/>
  <c r="Y52" i="11" s="1"/>
  <c r="F13" i="63"/>
  <c r="G13" i="63" s="1"/>
  <c r="H13" i="63" s="1"/>
  <c r="Y15" i="11" s="1"/>
  <c r="F22" i="63"/>
  <c r="G22" i="63" s="1"/>
  <c r="H22" i="63" s="1"/>
  <c r="Y24" i="11" s="1"/>
  <c r="F29" i="63"/>
  <c r="G29" i="63" s="1"/>
  <c r="H29" i="63" s="1"/>
  <c r="Y31" i="11" s="1"/>
  <c r="F40" i="63"/>
  <c r="G40" i="63" s="1"/>
  <c r="H40" i="63" s="1"/>
  <c r="Y42" i="11" s="1"/>
  <c r="F34" i="63"/>
  <c r="G34" i="63" s="1"/>
  <c r="H34" i="63" s="1"/>
  <c r="Y36" i="11" s="1"/>
  <c r="F49" i="63"/>
  <c r="G49" i="63" s="1"/>
  <c r="H49" i="63" s="1"/>
  <c r="Y51" i="11" s="1"/>
  <c r="F5" i="63"/>
  <c r="G5" i="63" s="1"/>
  <c r="H5" i="63" s="1"/>
  <c r="Y7" i="11" s="1"/>
  <c r="F48" i="63"/>
  <c r="G48" i="63" s="1"/>
  <c r="H48" i="63" s="1"/>
  <c r="Y50" i="11" s="1"/>
  <c r="F47" i="63"/>
  <c r="G47" i="63" s="1"/>
  <c r="H47" i="63" s="1"/>
  <c r="Y49" i="11" s="1"/>
  <c r="F38" i="63"/>
  <c r="G38" i="63" s="1"/>
  <c r="H38" i="63" s="1"/>
  <c r="Y40" i="11" s="1"/>
  <c r="F33" i="63"/>
  <c r="G33" i="63" s="1"/>
  <c r="H33" i="63" s="1"/>
  <c r="Y35" i="11" s="1"/>
  <c r="F43" i="63"/>
  <c r="G43" i="63" s="1"/>
  <c r="H43" i="63" s="1"/>
  <c r="Y45" i="11" s="1"/>
  <c r="F51" i="63"/>
  <c r="G51" i="63" s="1"/>
  <c r="H51" i="63" s="1"/>
  <c r="Y53" i="11" s="1"/>
  <c r="F42" i="63"/>
  <c r="G42" i="63" s="1"/>
  <c r="H42" i="63" s="1"/>
  <c r="Y44" i="11" s="1"/>
  <c r="F8" i="63"/>
  <c r="G8" i="63" s="1"/>
  <c r="H8" i="63" s="1"/>
  <c r="Y10" i="11" s="1"/>
  <c r="F7" i="63"/>
  <c r="G7" i="63" s="1"/>
  <c r="H7" i="63" s="1"/>
  <c r="Y9" i="11" s="1"/>
  <c r="F45" i="63"/>
  <c r="G45" i="63" s="1"/>
  <c r="H45" i="63" s="1"/>
  <c r="Y47" i="11" s="1"/>
  <c r="F31" i="63"/>
  <c r="G31" i="63" s="1"/>
  <c r="H31" i="63" s="1"/>
  <c r="Y33" i="11" s="1"/>
  <c r="F15" i="63"/>
  <c r="G15" i="63" s="1"/>
  <c r="H15" i="63" s="1"/>
  <c r="Y17" i="11" s="1"/>
  <c r="F44" i="63"/>
  <c r="G44" i="63" s="1"/>
  <c r="H44" i="63" s="1"/>
  <c r="Y46" i="11" s="1"/>
  <c r="F18" i="63"/>
  <c r="G18" i="63" s="1"/>
  <c r="H18" i="63" s="1"/>
  <c r="Y20" i="11" s="1"/>
  <c r="F14" i="62"/>
  <c r="G14" i="62" s="1"/>
  <c r="H14" i="62" s="1"/>
  <c r="X16" i="11" s="1"/>
  <c r="F23" i="62"/>
  <c r="G23" i="62" s="1"/>
  <c r="H23" i="62" s="1"/>
  <c r="X25" i="11" s="1"/>
  <c r="F12" i="62"/>
  <c r="G12" i="62" s="1"/>
  <c r="H12" i="62" s="1"/>
  <c r="X14" i="11" s="1"/>
  <c r="F39" i="62"/>
  <c r="G39" i="62" s="1"/>
  <c r="H39" i="62" s="1"/>
  <c r="X41" i="11" s="1"/>
  <c r="F31" i="62"/>
  <c r="G31" i="62" s="1"/>
  <c r="H31" i="62" s="1"/>
  <c r="X33" i="11" s="1"/>
  <c r="F17" i="62"/>
  <c r="G17" i="62" s="1"/>
  <c r="H17" i="62" s="1"/>
  <c r="X19" i="11" s="1"/>
  <c r="F37" i="62"/>
  <c r="G37" i="62" s="1"/>
  <c r="H37" i="62" s="1"/>
  <c r="X39" i="11" s="1"/>
  <c r="F44" i="62"/>
  <c r="G44" i="62" s="1"/>
  <c r="H44" i="62" s="1"/>
  <c r="X46" i="11" s="1"/>
  <c r="F11" i="62"/>
  <c r="G11" i="62" s="1"/>
  <c r="H11" i="62" s="1"/>
  <c r="X13" i="11" s="1"/>
  <c r="F13" i="62"/>
  <c r="G13" i="62" s="1"/>
  <c r="H13" i="62" s="1"/>
  <c r="X15" i="11" s="1"/>
  <c r="F20" i="62"/>
  <c r="G20" i="62" s="1"/>
  <c r="H20" i="62" s="1"/>
  <c r="X22" i="11" s="1"/>
  <c r="F22" i="62"/>
  <c r="G22" i="62" s="1"/>
  <c r="H22" i="62" s="1"/>
  <c r="X24" i="11" s="1"/>
  <c r="F24" i="62"/>
  <c r="G24" i="62" s="1"/>
  <c r="H24" i="62" s="1"/>
  <c r="X26" i="11" s="1"/>
  <c r="F41" i="62"/>
  <c r="G41" i="62" s="1"/>
  <c r="H41" i="62" s="1"/>
  <c r="X43" i="11" s="1"/>
  <c r="F50" i="62"/>
  <c r="G50" i="62" s="1"/>
  <c r="H50" i="62" s="1"/>
  <c r="X52" i="11" s="1"/>
  <c r="F25" i="62"/>
  <c r="G25" i="62" s="1"/>
  <c r="H25" i="62" s="1"/>
  <c r="X27" i="11" s="1"/>
  <c r="F8" i="62"/>
  <c r="G8" i="62" s="1"/>
  <c r="H8" i="62" s="1"/>
  <c r="X10" i="11" s="1"/>
  <c r="F29" i="62"/>
  <c r="G29" i="62" s="1"/>
  <c r="H29" i="62" s="1"/>
  <c r="X31" i="11" s="1"/>
  <c r="F51" i="62"/>
  <c r="G51" i="62" s="1"/>
  <c r="H51" i="62" s="1"/>
  <c r="X53" i="11" s="1"/>
  <c r="F18" i="62"/>
  <c r="G18" i="62" s="1"/>
  <c r="H18" i="62" s="1"/>
  <c r="X20" i="11" s="1"/>
  <c r="F30" i="62"/>
  <c r="G30" i="62" s="1"/>
  <c r="H30" i="62" s="1"/>
  <c r="X32" i="11" s="1"/>
  <c r="F19" i="62"/>
  <c r="G19" i="62" s="1"/>
  <c r="H19" i="62" s="1"/>
  <c r="X21" i="11" s="1"/>
  <c r="F5" i="62"/>
  <c r="G5" i="62" s="1"/>
  <c r="H5" i="62" s="1"/>
  <c r="X7" i="11" s="1"/>
  <c r="F6" i="61"/>
  <c r="G6" i="61" s="1"/>
  <c r="H6" i="61" s="1"/>
  <c r="W8" i="11" s="1"/>
  <c r="F20" i="61"/>
  <c r="G20" i="61" s="1"/>
  <c r="H20" i="61" s="1"/>
  <c r="W22" i="11" s="1"/>
  <c r="F43" i="61"/>
  <c r="G43" i="61" s="1"/>
  <c r="H43" i="61" s="1"/>
  <c r="W45" i="11" s="1"/>
  <c r="F32" i="61"/>
  <c r="G32" i="61" s="1"/>
  <c r="H32" i="61" s="1"/>
  <c r="W34" i="11" s="1"/>
  <c r="F27" i="61"/>
  <c r="G27" i="61" s="1"/>
  <c r="H27" i="61" s="1"/>
  <c r="W29" i="11" s="1"/>
  <c r="F41" i="61"/>
  <c r="G41" i="61" s="1"/>
  <c r="H41" i="61" s="1"/>
  <c r="W43" i="11" s="1"/>
  <c r="F21" i="61"/>
  <c r="G21" i="61" s="1"/>
  <c r="H21" i="61" s="1"/>
  <c r="W23" i="11" s="1"/>
  <c r="F51" i="61"/>
  <c r="G51" i="61" s="1"/>
  <c r="H51" i="61" s="1"/>
  <c r="W53" i="11" s="1"/>
  <c r="F19" i="61"/>
  <c r="G19" i="61" s="1"/>
  <c r="H19" i="61" s="1"/>
  <c r="W21" i="11" s="1"/>
  <c r="F18" i="61"/>
  <c r="G18" i="61" s="1"/>
  <c r="H18" i="61" s="1"/>
  <c r="W20" i="11" s="1"/>
  <c r="F53" i="61"/>
  <c r="G53" i="61" s="1"/>
  <c r="H53" i="61" s="1"/>
  <c r="W55" i="11" s="1"/>
  <c r="F22" i="61"/>
  <c r="G22" i="61" s="1"/>
  <c r="H22" i="61" s="1"/>
  <c r="W24" i="11" s="1"/>
  <c r="F49" i="61"/>
  <c r="G49" i="61" s="1"/>
  <c r="H49" i="61" s="1"/>
  <c r="W51" i="11" s="1"/>
  <c r="F34" i="61"/>
  <c r="G34" i="61" s="1"/>
  <c r="H34" i="61" s="1"/>
  <c r="W36" i="11" s="1"/>
  <c r="F13" i="61"/>
  <c r="G13" i="61" s="1"/>
  <c r="H13" i="61" s="1"/>
  <c r="W15" i="11" s="1"/>
  <c r="F15" i="61"/>
  <c r="G15" i="61" s="1"/>
  <c r="H15" i="61" s="1"/>
  <c r="W17" i="11" s="1"/>
  <c r="F38" i="61"/>
  <c r="G38" i="61" s="1"/>
  <c r="H38" i="61" s="1"/>
  <c r="W40" i="11" s="1"/>
  <c r="F9" i="61"/>
  <c r="G9" i="61" s="1"/>
  <c r="H9" i="61" s="1"/>
  <c r="W11" i="11" s="1"/>
  <c r="F28" i="61"/>
  <c r="G28" i="61" s="1"/>
  <c r="H28" i="61" s="1"/>
  <c r="W30" i="11" s="1"/>
  <c r="F12" i="61"/>
  <c r="G12" i="61" s="1"/>
  <c r="H12" i="61" s="1"/>
  <c r="W14" i="11" s="1"/>
  <c r="F47" i="61"/>
  <c r="G47" i="61" s="1"/>
  <c r="H47" i="61" s="1"/>
  <c r="W49" i="11" s="1"/>
  <c r="F10" i="61"/>
  <c r="G10" i="61" s="1"/>
  <c r="H10" i="61" s="1"/>
  <c r="W12" i="11" s="1"/>
  <c r="F7" i="61"/>
  <c r="G7" i="61" s="1"/>
  <c r="H7" i="61" s="1"/>
  <c r="W9" i="11" s="1"/>
  <c r="F26" i="61"/>
  <c r="G26" i="61" s="1"/>
  <c r="H26" i="61" s="1"/>
  <c r="W28" i="11" s="1"/>
  <c r="F35" i="61"/>
  <c r="G35" i="61" s="1"/>
  <c r="H35" i="61" s="1"/>
  <c r="W37" i="11" s="1"/>
  <c r="F39" i="61"/>
  <c r="G39" i="61" s="1"/>
  <c r="H39" i="61" s="1"/>
  <c r="W41" i="11" s="1"/>
  <c r="F23" i="61"/>
  <c r="G23" i="61" s="1"/>
  <c r="H23" i="61" s="1"/>
  <c r="W25" i="11" s="1"/>
  <c r="F25" i="61"/>
  <c r="G25" i="61" s="1"/>
  <c r="H25" i="61" s="1"/>
  <c r="W27" i="11" s="1"/>
  <c r="F37" i="61"/>
  <c r="G37" i="61" s="1"/>
  <c r="H37" i="61" s="1"/>
  <c r="W39" i="11" s="1"/>
  <c r="F52" i="61"/>
  <c r="G52" i="61" s="1"/>
  <c r="H52" i="61" s="1"/>
  <c r="W54" i="11" s="1"/>
  <c r="F45" i="61"/>
  <c r="G45" i="61" s="1"/>
  <c r="H45" i="61" s="1"/>
  <c r="W47" i="11" s="1"/>
  <c r="F11" i="61"/>
  <c r="G11" i="61" s="1"/>
  <c r="H11" i="61" s="1"/>
  <c r="W13" i="11" s="1"/>
  <c r="F30" i="61"/>
  <c r="G30" i="61" s="1"/>
  <c r="H30" i="61" s="1"/>
  <c r="W32" i="11" s="1"/>
  <c r="F14" i="61"/>
  <c r="G14" i="61" s="1"/>
  <c r="H14" i="61" s="1"/>
  <c r="W16" i="11" s="1"/>
  <c r="F46" i="61"/>
  <c r="G46" i="61" s="1"/>
  <c r="H46" i="61" s="1"/>
  <c r="W48" i="11" s="1"/>
  <c r="F40" i="61"/>
  <c r="G40" i="61" s="1"/>
  <c r="H40" i="61" s="1"/>
  <c r="W42" i="11" s="1"/>
  <c r="F17" i="61"/>
  <c r="G17" i="61" s="1"/>
  <c r="H17" i="61" s="1"/>
  <c r="W19" i="11" s="1"/>
  <c r="F36" i="61"/>
  <c r="G36" i="61" s="1"/>
  <c r="H36" i="61" s="1"/>
  <c r="W38" i="11" s="1"/>
  <c r="F48" i="61"/>
  <c r="G48" i="61" s="1"/>
  <c r="H48" i="61" s="1"/>
  <c r="W50" i="11" s="1"/>
  <c r="F16" i="61"/>
  <c r="G16" i="61" s="1"/>
  <c r="H16" i="61" s="1"/>
  <c r="W18" i="11" s="1"/>
  <c r="F33" i="61"/>
  <c r="G33" i="61" s="1"/>
  <c r="H33" i="61" s="1"/>
  <c r="W35" i="11" s="1"/>
  <c r="F5" i="61"/>
  <c r="G5" i="61" s="1"/>
  <c r="H5" i="61" s="1"/>
  <c r="W7" i="11" s="1"/>
  <c r="F31" i="61"/>
  <c r="G31" i="61" s="1"/>
  <c r="H31" i="61" s="1"/>
  <c r="W33" i="11" s="1"/>
  <c r="F29" i="61"/>
  <c r="G29" i="61" s="1"/>
  <c r="H29" i="61" s="1"/>
  <c r="W31" i="11" s="1"/>
  <c r="F42" i="61"/>
  <c r="G42" i="61" s="1"/>
  <c r="H42" i="61" s="1"/>
  <c r="W44" i="11" s="1"/>
  <c r="F8" i="61"/>
  <c r="G8" i="61" s="1"/>
  <c r="H8" i="61" s="1"/>
  <c r="W10" i="11" s="1"/>
  <c r="F24" i="61"/>
  <c r="G24" i="61" s="1"/>
  <c r="H24" i="61" s="1"/>
  <c r="W26" i="11" s="1"/>
  <c r="F50" i="61"/>
  <c r="G50" i="61" s="1"/>
  <c r="H50" i="61" s="1"/>
  <c r="W52" i="11" s="1"/>
  <c r="F30" i="59"/>
  <c r="G30" i="59" s="1"/>
  <c r="H30" i="59" s="1"/>
  <c r="U32" i="11" s="1"/>
  <c r="F12" i="59"/>
  <c r="G12" i="59" s="1"/>
  <c r="H12" i="59" s="1"/>
  <c r="U14" i="11" s="1"/>
  <c r="F6" i="59"/>
  <c r="G6" i="59" s="1"/>
  <c r="H6" i="59" s="1"/>
  <c r="U8" i="11" s="1"/>
  <c r="T107" i="11"/>
  <c r="T109" i="11" s="1"/>
  <c r="G56" i="14"/>
  <c r="H55" i="14"/>
  <c r="AQ30" i="7" s="1"/>
  <c r="AS30" i="7" s="1"/>
  <c r="H56" i="14"/>
  <c r="F38" i="58"/>
  <c r="G38" i="58" s="1"/>
  <c r="H38" i="58" s="1"/>
  <c r="Q40" i="11" s="1"/>
  <c r="F32" i="58"/>
  <c r="G32" i="58" s="1"/>
  <c r="H32" i="58" s="1"/>
  <c r="Q34" i="11" s="1"/>
  <c r="F41" i="58"/>
  <c r="G41" i="58" s="1"/>
  <c r="H41" i="58" s="1"/>
  <c r="Q43" i="11" s="1"/>
  <c r="F26" i="58"/>
  <c r="G26" i="58" s="1"/>
  <c r="H26" i="58" s="1"/>
  <c r="Q28" i="11" s="1"/>
  <c r="F12" i="58"/>
  <c r="G12" i="58" s="1"/>
  <c r="H12" i="58" s="1"/>
  <c r="Q14" i="11" s="1"/>
  <c r="F7" i="58"/>
  <c r="G7" i="58" s="1"/>
  <c r="H7" i="58" s="1"/>
  <c r="Q9" i="11" s="1"/>
  <c r="F37" i="58"/>
  <c r="G37" i="58" s="1"/>
  <c r="H37" i="58" s="1"/>
  <c r="Q39" i="11" s="1"/>
  <c r="F30" i="58"/>
  <c r="G30" i="58" s="1"/>
  <c r="H30" i="58" s="1"/>
  <c r="Q32" i="11" s="1"/>
  <c r="F35" i="58"/>
  <c r="G35" i="58" s="1"/>
  <c r="H35" i="58" s="1"/>
  <c r="Q37" i="11" s="1"/>
  <c r="F19" i="58"/>
  <c r="G19" i="58" s="1"/>
  <c r="H19" i="58" s="1"/>
  <c r="Q21" i="11" s="1"/>
  <c r="F50" i="58"/>
  <c r="G50" i="58" s="1"/>
  <c r="H50" i="58" s="1"/>
  <c r="Q52" i="11" s="1"/>
  <c r="F21" i="58"/>
  <c r="G21" i="58" s="1"/>
  <c r="H21" i="58" s="1"/>
  <c r="Q23" i="11" s="1"/>
  <c r="F46" i="58"/>
  <c r="G46" i="58" s="1"/>
  <c r="H46" i="58" s="1"/>
  <c r="Q48" i="11" s="1"/>
  <c r="F17" i="58"/>
  <c r="G17" i="58" s="1"/>
  <c r="H17" i="58" s="1"/>
  <c r="Q19" i="11" s="1"/>
  <c r="F18" i="58"/>
  <c r="G18" i="58" s="1"/>
  <c r="H18" i="58" s="1"/>
  <c r="Q20" i="11" s="1"/>
  <c r="F31" i="58"/>
  <c r="G31" i="58" s="1"/>
  <c r="H31" i="58" s="1"/>
  <c r="Q33" i="11" s="1"/>
  <c r="F52" i="57"/>
  <c r="G52" i="57" s="1"/>
  <c r="H52" i="57" s="1"/>
  <c r="P54" i="11" s="1"/>
  <c r="F18" i="57"/>
  <c r="G18" i="57" s="1"/>
  <c r="H18" i="57" s="1"/>
  <c r="P20" i="11" s="1"/>
  <c r="F38" i="57"/>
  <c r="G38" i="57" s="1"/>
  <c r="H38" i="57" s="1"/>
  <c r="P40" i="11" s="1"/>
  <c r="F23" i="57"/>
  <c r="G23" i="57" s="1"/>
  <c r="H23" i="57" s="1"/>
  <c r="P25" i="11" s="1"/>
  <c r="F53" i="57"/>
  <c r="G53" i="57" s="1"/>
  <c r="H53" i="57" s="1"/>
  <c r="P55" i="11" s="1"/>
  <c r="F7" i="57"/>
  <c r="G7" i="57" s="1"/>
  <c r="H7" i="57" s="1"/>
  <c r="P9" i="11" s="1"/>
  <c r="F21" i="57"/>
  <c r="G21" i="57" s="1"/>
  <c r="H21" i="57" s="1"/>
  <c r="P23" i="11" s="1"/>
  <c r="F30" i="57"/>
  <c r="G30" i="57" s="1"/>
  <c r="H30" i="57" s="1"/>
  <c r="P32" i="11" s="1"/>
  <c r="F25" i="57"/>
  <c r="G25" i="57" s="1"/>
  <c r="H25" i="57" s="1"/>
  <c r="P27" i="11" s="1"/>
  <c r="F28" i="57"/>
  <c r="G28" i="57" s="1"/>
  <c r="H28" i="57" s="1"/>
  <c r="P30" i="11" s="1"/>
  <c r="F11" i="57"/>
  <c r="G11" i="57" s="1"/>
  <c r="H11" i="57" s="1"/>
  <c r="P13" i="11" s="1"/>
  <c r="F40" i="57"/>
  <c r="G40" i="57" s="1"/>
  <c r="H40" i="57" s="1"/>
  <c r="P42" i="11" s="1"/>
  <c r="F33" i="57"/>
  <c r="G33" i="57" s="1"/>
  <c r="H33" i="57" s="1"/>
  <c r="P35" i="11" s="1"/>
  <c r="F5" i="57"/>
  <c r="G5" i="57" s="1"/>
  <c r="H5" i="57" s="1"/>
  <c r="P7" i="11" s="1"/>
  <c r="F36" i="57"/>
  <c r="G36" i="57" s="1"/>
  <c r="H36" i="57" s="1"/>
  <c r="P38" i="11" s="1"/>
  <c r="F45" i="57"/>
  <c r="G45" i="57" s="1"/>
  <c r="H45" i="57" s="1"/>
  <c r="P47" i="11" s="1"/>
  <c r="F46" i="57"/>
  <c r="G46" i="57" s="1"/>
  <c r="H46" i="57" s="1"/>
  <c r="P48" i="11" s="1"/>
  <c r="F13" i="57"/>
  <c r="G13" i="57" s="1"/>
  <c r="H13" i="57" s="1"/>
  <c r="P15" i="11" s="1"/>
  <c r="F49" i="57"/>
  <c r="G49" i="57" s="1"/>
  <c r="H49" i="57" s="1"/>
  <c r="P51" i="11" s="1"/>
  <c r="F29" i="57"/>
  <c r="G29" i="57" s="1"/>
  <c r="H29" i="57" s="1"/>
  <c r="P31" i="11" s="1"/>
  <c r="F12" i="57"/>
  <c r="G12" i="57" s="1"/>
  <c r="H12" i="57" s="1"/>
  <c r="P14" i="11" s="1"/>
  <c r="F6" i="57"/>
  <c r="G6" i="57" s="1"/>
  <c r="H6" i="57" s="1"/>
  <c r="P8" i="11" s="1"/>
  <c r="F44" i="57"/>
  <c r="G44" i="57" s="1"/>
  <c r="H44" i="57" s="1"/>
  <c r="P46" i="11" s="1"/>
  <c r="F15" i="57"/>
  <c r="G15" i="57" s="1"/>
  <c r="H15" i="57" s="1"/>
  <c r="P17" i="11" s="1"/>
  <c r="F20" i="57"/>
  <c r="G20" i="57" s="1"/>
  <c r="H20" i="57" s="1"/>
  <c r="P22" i="11" s="1"/>
  <c r="F31" i="57"/>
  <c r="G31" i="57" s="1"/>
  <c r="H31" i="57" s="1"/>
  <c r="P33" i="11" s="1"/>
  <c r="F22" i="57"/>
  <c r="G22" i="57" s="1"/>
  <c r="H22" i="57" s="1"/>
  <c r="P24" i="11" s="1"/>
  <c r="F10" i="57"/>
  <c r="G10" i="57" s="1"/>
  <c r="H10" i="57" s="1"/>
  <c r="P12" i="11" s="1"/>
  <c r="F51" i="57"/>
  <c r="G51" i="57" s="1"/>
  <c r="H51" i="57" s="1"/>
  <c r="P53" i="11" s="1"/>
  <c r="F34" i="57"/>
  <c r="G34" i="57" s="1"/>
  <c r="H34" i="57" s="1"/>
  <c r="P36" i="11" s="1"/>
  <c r="F43" i="57"/>
  <c r="G43" i="57" s="1"/>
  <c r="H43" i="57" s="1"/>
  <c r="P45" i="11" s="1"/>
  <c r="F16" i="57"/>
  <c r="G16" i="57" s="1"/>
  <c r="H16" i="57" s="1"/>
  <c r="P18" i="11" s="1"/>
  <c r="F26" i="57"/>
  <c r="G26" i="57" s="1"/>
  <c r="H26" i="57" s="1"/>
  <c r="P28" i="11" s="1"/>
  <c r="F24" i="57"/>
  <c r="G24" i="57" s="1"/>
  <c r="H24" i="57" s="1"/>
  <c r="P26" i="11" s="1"/>
  <c r="F39" i="57"/>
  <c r="G39" i="57" s="1"/>
  <c r="H39" i="57" s="1"/>
  <c r="P41" i="11" s="1"/>
  <c r="F42" i="57"/>
  <c r="G42" i="57" s="1"/>
  <c r="H42" i="57" s="1"/>
  <c r="P44" i="11" s="1"/>
  <c r="F11" i="54"/>
  <c r="G11" i="54" s="1"/>
  <c r="H11" i="54" s="1"/>
  <c r="O13" i="11" s="1"/>
  <c r="F36" i="54"/>
  <c r="G36" i="54" s="1"/>
  <c r="H36" i="54" s="1"/>
  <c r="O38" i="11" s="1"/>
  <c r="F50" i="54"/>
  <c r="G50" i="54" s="1"/>
  <c r="H50" i="54" s="1"/>
  <c r="O52" i="11" s="1"/>
  <c r="F46" i="54"/>
  <c r="G46" i="54" s="1"/>
  <c r="H46" i="54" s="1"/>
  <c r="O48" i="11" s="1"/>
  <c r="F31" i="54"/>
  <c r="G31" i="54" s="1"/>
  <c r="H31" i="54" s="1"/>
  <c r="O33" i="11" s="1"/>
  <c r="F24" i="54"/>
  <c r="G24" i="54" s="1"/>
  <c r="H24" i="54" s="1"/>
  <c r="O26" i="11" s="1"/>
  <c r="F42" i="54"/>
  <c r="G42" i="54" s="1"/>
  <c r="H42" i="54" s="1"/>
  <c r="O44" i="11" s="1"/>
  <c r="F25" i="54"/>
  <c r="G25" i="54" s="1"/>
  <c r="H25" i="54" s="1"/>
  <c r="O27" i="11" s="1"/>
  <c r="F52" i="54"/>
  <c r="G52" i="54" s="1"/>
  <c r="H52" i="54" s="1"/>
  <c r="O54" i="11" s="1"/>
  <c r="F19" i="54"/>
  <c r="G19" i="54" s="1"/>
  <c r="H19" i="54" s="1"/>
  <c r="O21" i="11" s="1"/>
  <c r="F26" i="54"/>
  <c r="G26" i="54" s="1"/>
  <c r="H26" i="54" s="1"/>
  <c r="O28" i="11" s="1"/>
  <c r="F27" i="54"/>
  <c r="G27" i="54" s="1"/>
  <c r="H27" i="54" s="1"/>
  <c r="O29" i="11" s="1"/>
  <c r="F29" i="54"/>
  <c r="G29" i="54" s="1"/>
  <c r="H29" i="54" s="1"/>
  <c r="O31" i="11" s="1"/>
  <c r="F37" i="54"/>
  <c r="G37" i="54" s="1"/>
  <c r="H37" i="54" s="1"/>
  <c r="O39" i="11" s="1"/>
  <c r="F34" i="54"/>
  <c r="G34" i="54" s="1"/>
  <c r="H34" i="54" s="1"/>
  <c r="O36" i="11" s="1"/>
  <c r="F43" i="54"/>
  <c r="G43" i="54" s="1"/>
  <c r="H43" i="54" s="1"/>
  <c r="O45" i="11" s="1"/>
  <c r="F40" i="54"/>
  <c r="G40" i="54" s="1"/>
  <c r="H40" i="54" s="1"/>
  <c r="O42" i="11" s="1"/>
  <c r="F12" i="54"/>
  <c r="G12" i="54" s="1"/>
  <c r="H12" i="54" s="1"/>
  <c r="O14" i="11" s="1"/>
  <c r="F8" i="54"/>
  <c r="G8" i="54" s="1"/>
  <c r="H8" i="54" s="1"/>
  <c r="O10" i="11" s="1"/>
  <c r="F35" i="54"/>
  <c r="G35" i="54" s="1"/>
  <c r="H35" i="54" s="1"/>
  <c r="O37" i="11" s="1"/>
  <c r="F49" i="54"/>
  <c r="G49" i="54" s="1"/>
  <c r="H49" i="54" s="1"/>
  <c r="O51" i="11" s="1"/>
  <c r="F23" i="54"/>
  <c r="G23" i="54" s="1"/>
  <c r="H23" i="54" s="1"/>
  <c r="O25" i="11" s="1"/>
  <c r="F5" i="54"/>
  <c r="G5" i="54" s="1"/>
  <c r="H5" i="54" s="1"/>
  <c r="O7" i="11" s="1"/>
  <c r="F6" i="54"/>
  <c r="G6" i="54" s="1"/>
  <c r="H6" i="54" s="1"/>
  <c r="O8" i="11" s="1"/>
  <c r="F45" i="54"/>
  <c r="G45" i="54" s="1"/>
  <c r="H45" i="54" s="1"/>
  <c r="O47" i="11" s="1"/>
  <c r="F21" i="54"/>
  <c r="G21" i="54" s="1"/>
  <c r="H21" i="54" s="1"/>
  <c r="O23" i="11" s="1"/>
  <c r="F53" i="54"/>
  <c r="G53" i="54" s="1"/>
  <c r="H53" i="54" s="1"/>
  <c r="O55" i="11" s="1"/>
  <c r="F14" i="54"/>
  <c r="G14" i="54" s="1"/>
  <c r="H14" i="54" s="1"/>
  <c r="O16" i="11" s="1"/>
  <c r="F15" i="54"/>
  <c r="G15" i="54" s="1"/>
  <c r="H15" i="54" s="1"/>
  <c r="O17" i="11" s="1"/>
  <c r="F17" i="54"/>
  <c r="G17" i="54" s="1"/>
  <c r="H17" i="54" s="1"/>
  <c r="O19" i="11" s="1"/>
  <c r="F39" i="54"/>
  <c r="G39" i="54" s="1"/>
  <c r="H39" i="54" s="1"/>
  <c r="O41" i="11" s="1"/>
  <c r="F32" i="54"/>
  <c r="G32" i="54" s="1"/>
  <c r="H32" i="54" s="1"/>
  <c r="O34" i="11" s="1"/>
  <c r="F30" i="54"/>
  <c r="G30" i="54" s="1"/>
  <c r="H30" i="54" s="1"/>
  <c r="O32" i="11" s="1"/>
  <c r="F10" i="54"/>
  <c r="G10" i="54" s="1"/>
  <c r="H10" i="54" s="1"/>
  <c r="O12" i="11" s="1"/>
  <c r="F13" i="54"/>
  <c r="G13" i="54" s="1"/>
  <c r="H13" i="54" s="1"/>
  <c r="O15" i="11" s="1"/>
  <c r="F20" i="54"/>
  <c r="G20" i="54" s="1"/>
  <c r="H20" i="54" s="1"/>
  <c r="O22" i="11" s="1"/>
  <c r="F7" i="54"/>
  <c r="G7" i="54" s="1"/>
  <c r="H7" i="54" s="1"/>
  <c r="O9" i="11" s="1"/>
  <c r="F9" i="54"/>
  <c r="G9" i="54" s="1"/>
  <c r="H9" i="54" s="1"/>
  <c r="O11" i="11" s="1"/>
  <c r="F38" i="54"/>
  <c r="G38" i="54" s="1"/>
  <c r="H38" i="54" s="1"/>
  <c r="O40" i="11" s="1"/>
  <c r="F33" i="54"/>
  <c r="G33" i="54" s="1"/>
  <c r="H33" i="54" s="1"/>
  <c r="O35" i="11" s="1"/>
  <c r="F44" i="54"/>
  <c r="G44" i="54" s="1"/>
  <c r="H44" i="54" s="1"/>
  <c r="O46" i="11" s="1"/>
  <c r="F48" i="54"/>
  <c r="G48" i="54" s="1"/>
  <c r="H48" i="54" s="1"/>
  <c r="O50" i="11" s="1"/>
  <c r="F51" i="54"/>
  <c r="G51" i="54" s="1"/>
  <c r="H51" i="54" s="1"/>
  <c r="O53" i="11" s="1"/>
  <c r="F28" i="54"/>
  <c r="G28" i="54" s="1"/>
  <c r="H28" i="54" s="1"/>
  <c r="O30" i="11" s="1"/>
  <c r="F22" i="54"/>
  <c r="G22" i="54" s="1"/>
  <c r="H22" i="54" s="1"/>
  <c r="O24" i="11" s="1"/>
  <c r="F18" i="54"/>
  <c r="G18" i="54" s="1"/>
  <c r="H18" i="54" s="1"/>
  <c r="O20" i="11" s="1"/>
  <c r="F16" i="54"/>
  <c r="G16" i="54" s="1"/>
  <c r="H16" i="54" s="1"/>
  <c r="O18" i="11" s="1"/>
  <c r="F8" i="53"/>
  <c r="G8" i="53" s="1"/>
  <c r="H8" i="53" s="1"/>
  <c r="N10" i="11" s="1"/>
  <c r="F34" i="53"/>
  <c r="G34" i="53" s="1"/>
  <c r="H34" i="53" s="1"/>
  <c r="N36" i="11" s="1"/>
  <c r="F43" i="53"/>
  <c r="G43" i="53" s="1"/>
  <c r="H43" i="53" s="1"/>
  <c r="N45" i="11" s="1"/>
  <c r="F9" i="53"/>
  <c r="G9" i="53" s="1"/>
  <c r="H9" i="53" s="1"/>
  <c r="N11" i="11" s="1"/>
  <c r="F49" i="53"/>
  <c r="G49" i="53" s="1"/>
  <c r="H49" i="53" s="1"/>
  <c r="N51" i="11" s="1"/>
  <c r="F41" i="53"/>
  <c r="G41" i="53" s="1"/>
  <c r="H41" i="53" s="1"/>
  <c r="N43" i="11" s="1"/>
  <c r="F25" i="53"/>
  <c r="G25" i="53" s="1"/>
  <c r="H25" i="53" s="1"/>
  <c r="N27" i="11" s="1"/>
  <c r="F35" i="53"/>
  <c r="G35" i="53" s="1"/>
  <c r="H35" i="53" s="1"/>
  <c r="N37" i="11" s="1"/>
  <c r="F27" i="53"/>
  <c r="G27" i="53" s="1"/>
  <c r="H27" i="53" s="1"/>
  <c r="N29" i="11" s="1"/>
  <c r="F50" i="53"/>
  <c r="G50" i="53" s="1"/>
  <c r="H50" i="53" s="1"/>
  <c r="N52" i="11" s="1"/>
  <c r="F46" i="53"/>
  <c r="G46" i="53" s="1"/>
  <c r="H46" i="53" s="1"/>
  <c r="N48" i="11" s="1"/>
  <c r="F40" i="53"/>
  <c r="G40" i="53" s="1"/>
  <c r="H40" i="53" s="1"/>
  <c r="N42" i="11" s="1"/>
  <c r="F44" i="53"/>
  <c r="G44" i="53" s="1"/>
  <c r="H44" i="53" s="1"/>
  <c r="N46" i="11" s="1"/>
  <c r="F52" i="53"/>
  <c r="G52" i="53" s="1"/>
  <c r="H52" i="53" s="1"/>
  <c r="N54" i="11" s="1"/>
  <c r="F23" i="53"/>
  <c r="G23" i="53" s="1"/>
  <c r="H23" i="53" s="1"/>
  <c r="N25" i="11" s="1"/>
  <c r="F42" i="52"/>
  <c r="G42" i="52" s="1"/>
  <c r="H42" i="52" s="1"/>
  <c r="M44" i="11" s="1"/>
  <c r="F43" i="52"/>
  <c r="G43" i="52" s="1"/>
  <c r="H43" i="52" s="1"/>
  <c r="M45" i="11" s="1"/>
  <c r="F48" i="52"/>
  <c r="G48" i="52" s="1"/>
  <c r="H48" i="52" s="1"/>
  <c r="M50" i="11" s="1"/>
  <c r="F29" i="52"/>
  <c r="G29" i="52" s="1"/>
  <c r="H29" i="52" s="1"/>
  <c r="M31" i="11" s="1"/>
  <c r="F12" i="52"/>
  <c r="G12" i="52" s="1"/>
  <c r="H12" i="52" s="1"/>
  <c r="M14" i="11" s="1"/>
  <c r="F38" i="52"/>
  <c r="G38" i="52" s="1"/>
  <c r="H38" i="52" s="1"/>
  <c r="M40" i="11" s="1"/>
  <c r="F50" i="52"/>
  <c r="G50" i="52" s="1"/>
  <c r="H50" i="52" s="1"/>
  <c r="M52" i="11" s="1"/>
  <c r="F52" i="52"/>
  <c r="G52" i="52" s="1"/>
  <c r="H52" i="52" s="1"/>
  <c r="M54" i="11" s="1"/>
  <c r="F53" i="52"/>
  <c r="G53" i="52" s="1"/>
  <c r="H53" i="52" s="1"/>
  <c r="M55" i="11" s="1"/>
  <c r="F7" i="52"/>
  <c r="G7" i="52" s="1"/>
  <c r="H7" i="52" s="1"/>
  <c r="M9" i="11" s="1"/>
  <c r="F35" i="52"/>
  <c r="G35" i="52" s="1"/>
  <c r="H35" i="52" s="1"/>
  <c r="M37" i="11" s="1"/>
  <c r="F41" i="52"/>
  <c r="G41" i="52" s="1"/>
  <c r="H41" i="52" s="1"/>
  <c r="M43" i="11" s="1"/>
  <c r="F5" i="52"/>
  <c r="G5" i="52" s="1"/>
  <c r="H5" i="52" s="1"/>
  <c r="M7" i="11" s="1"/>
  <c r="F13" i="52"/>
  <c r="G13" i="52" s="1"/>
  <c r="H13" i="52" s="1"/>
  <c r="M15" i="11" s="1"/>
  <c r="F32" i="52"/>
  <c r="G32" i="52" s="1"/>
  <c r="H32" i="52" s="1"/>
  <c r="M34" i="11" s="1"/>
  <c r="F44" i="52"/>
  <c r="G44" i="52" s="1"/>
  <c r="H44" i="52" s="1"/>
  <c r="M46" i="11" s="1"/>
  <c r="F10" i="52"/>
  <c r="G10" i="52" s="1"/>
  <c r="H10" i="52" s="1"/>
  <c r="M12" i="11" s="1"/>
  <c r="F16" i="52"/>
  <c r="G16" i="52" s="1"/>
  <c r="H16" i="52" s="1"/>
  <c r="M18" i="11" s="1"/>
  <c r="F21" i="52"/>
  <c r="G21" i="52" s="1"/>
  <c r="H21" i="52" s="1"/>
  <c r="M23" i="11" s="1"/>
  <c r="F11" i="52"/>
  <c r="G11" i="52" s="1"/>
  <c r="H11" i="52" s="1"/>
  <c r="M13" i="11" s="1"/>
  <c r="F24" i="52"/>
  <c r="G24" i="52" s="1"/>
  <c r="H24" i="52" s="1"/>
  <c r="M26" i="11" s="1"/>
  <c r="F37" i="52"/>
  <c r="G37" i="52" s="1"/>
  <c r="H37" i="52" s="1"/>
  <c r="M39" i="11" s="1"/>
  <c r="F34" i="52"/>
  <c r="G34" i="52" s="1"/>
  <c r="H34" i="52" s="1"/>
  <c r="M36" i="11" s="1"/>
  <c r="F47" i="52"/>
  <c r="G47" i="52" s="1"/>
  <c r="H47" i="52" s="1"/>
  <c r="M49" i="11" s="1"/>
  <c r="F17" i="52"/>
  <c r="G17" i="52" s="1"/>
  <c r="H17" i="52" s="1"/>
  <c r="M19" i="11" s="1"/>
  <c r="F36" i="52"/>
  <c r="G36" i="52" s="1"/>
  <c r="H36" i="52" s="1"/>
  <c r="M38" i="11" s="1"/>
  <c r="F28" i="52"/>
  <c r="G28" i="52" s="1"/>
  <c r="H28" i="52" s="1"/>
  <c r="M30" i="11" s="1"/>
  <c r="F26" i="52"/>
  <c r="G26" i="52" s="1"/>
  <c r="H26" i="52" s="1"/>
  <c r="M28" i="11" s="1"/>
  <c r="F8" i="52"/>
  <c r="G8" i="52" s="1"/>
  <c r="H8" i="52" s="1"/>
  <c r="M10" i="11" s="1"/>
  <c r="F18" i="52"/>
  <c r="G18" i="52" s="1"/>
  <c r="H18" i="52" s="1"/>
  <c r="M20" i="11" s="1"/>
  <c r="F6" i="52"/>
  <c r="G6" i="52" s="1"/>
  <c r="H6" i="52" s="1"/>
  <c r="M8" i="11" s="1"/>
  <c r="F25" i="52"/>
  <c r="G25" i="52" s="1"/>
  <c r="H25" i="52" s="1"/>
  <c r="M27" i="11" s="1"/>
  <c r="F27" i="52"/>
  <c r="G27" i="52" s="1"/>
  <c r="H27" i="52" s="1"/>
  <c r="M29" i="11" s="1"/>
  <c r="F19" i="52"/>
  <c r="G19" i="52" s="1"/>
  <c r="H19" i="52" s="1"/>
  <c r="M21" i="11" s="1"/>
  <c r="F40" i="52"/>
  <c r="G40" i="52" s="1"/>
  <c r="H40" i="52" s="1"/>
  <c r="M42" i="11" s="1"/>
  <c r="F45" i="52"/>
  <c r="G45" i="52" s="1"/>
  <c r="H45" i="52" s="1"/>
  <c r="M47" i="11" s="1"/>
  <c r="F20" i="52"/>
  <c r="G20" i="52" s="1"/>
  <c r="H20" i="52" s="1"/>
  <c r="M22" i="11" s="1"/>
  <c r="F30" i="52"/>
  <c r="G30" i="52" s="1"/>
  <c r="H30" i="52" s="1"/>
  <c r="M32" i="11" s="1"/>
  <c r="F49" i="52"/>
  <c r="G49" i="52" s="1"/>
  <c r="H49" i="52" s="1"/>
  <c r="M51" i="11" s="1"/>
  <c r="F33" i="52"/>
  <c r="G33" i="52" s="1"/>
  <c r="H33" i="52" s="1"/>
  <c r="M35" i="11" s="1"/>
  <c r="F46" i="52"/>
  <c r="G46" i="52" s="1"/>
  <c r="H46" i="52" s="1"/>
  <c r="M48" i="11" s="1"/>
  <c r="F31" i="52"/>
  <c r="G31" i="52" s="1"/>
  <c r="H31" i="52" s="1"/>
  <c r="M33" i="11" s="1"/>
  <c r="F39" i="52"/>
  <c r="G39" i="52" s="1"/>
  <c r="H39" i="52" s="1"/>
  <c r="M41" i="11" s="1"/>
  <c r="F9" i="52"/>
  <c r="G9" i="52" s="1"/>
  <c r="H9" i="52" s="1"/>
  <c r="M11" i="11" s="1"/>
  <c r="F23" i="52"/>
  <c r="G23" i="52" s="1"/>
  <c r="H23" i="52" s="1"/>
  <c r="M25" i="11" s="1"/>
  <c r="F15" i="52"/>
  <c r="G15" i="52" s="1"/>
  <c r="H15" i="52" s="1"/>
  <c r="M17" i="11" s="1"/>
  <c r="F14" i="52"/>
  <c r="G14" i="52" s="1"/>
  <c r="H14" i="52" s="1"/>
  <c r="M16" i="11" s="1"/>
  <c r="F22" i="52"/>
  <c r="G22" i="52" s="1"/>
  <c r="H22" i="52" s="1"/>
  <c r="M24" i="11" s="1"/>
  <c r="F42" i="59"/>
  <c r="G42" i="59" s="1"/>
  <c r="H42" i="59" s="1"/>
  <c r="U44" i="11" s="1"/>
  <c r="F23" i="59"/>
  <c r="G23" i="59" s="1"/>
  <c r="H23" i="59" s="1"/>
  <c r="U25" i="11" s="1"/>
  <c r="F33" i="59"/>
  <c r="G33" i="59" s="1"/>
  <c r="H33" i="59" s="1"/>
  <c r="U35" i="11" s="1"/>
  <c r="F28" i="59"/>
  <c r="G28" i="59" s="1"/>
  <c r="H28" i="59" s="1"/>
  <c r="U30" i="11" s="1"/>
  <c r="F15" i="59"/>
  <c r="G15" i="59" s="1"/>
  <c r="H15" i="59" s="1"/>
  <c r="U17" i="11" s="1"/>
  <c r="F32" i="59"/>
  <c r="G32" i="59" s="1"/>
  <c r="H32" i="59" s="1"/>
  <c r="U34" i="11" s="1"/>
  <c r="F38" i="59"/>
  <c r="G38" i="59" s="1"/>
  <c r="H38" i="59" s="1"/>
  <c r="U40" i="11" s="1"/>
  <c r="F14" i="59"/>
  <c r="G14" i="59" s="1"/>
  <c r="H14" i="59" s="1"/>
  <c r="U16" i="11" s="1"/>
  <c r="F7" i="59"/>
  <c r="G7" i="59" s="1"/>
  <c r="H7" i="59" s="1"/>
  <c r="U9" i="11" s="1"/>
  <c r="F29" i="59"/>
  <c r="G29" i="59" s="1"/>
  <c r="H29" i="59" s="1"/>
  <c r="U31" i="11" s="1"/>
  <c r="F21" i="59"/>
  <c r="G21" i="59" s="1"/>
  <c r="H21" i="59" s="1"/>
  <c r="U23" i="11" s="1"/>
  <c r="F17" i="59"/>
  <c r="G17" i="59" s="1"/>
  <c r="H17" i="59" s="1"/>
  <c r="U19" i="11" s="1"/>
  <c r="F5" i="59"/>
  <c r="G5" i="59" s="1"/>
  <c r="H5" i="59" s="1"/>
  <c r="U7" i="11" s="1"/>
  <c r="F35" i="59"/>
  <c r="G35" i="59" s="1"/>
  <c r="H35" i="59" s="1"/>
  <c r="U37" i="11" s="1"/>
  <c r="F24" i="59"/>
  <c r="G24" i="59" s="1"/>
  <c r="H24" i="59" s="1"/>
  <c r="U26" i="11" s="1"/>
  <c r="F51" i="59"/>
  <c r="G51" i="59" s="1"/>
  <c r="H51" i="59" s="1"/>
  <c r="U53" i="11" s="1"/>
  <c r="F49" i="59"/>
  <c r="G49" i="59" s="1"/>
  <c r="H49" i="59" s="1"/>
  <c r="U51" i="11" s="1"/>
  <c r="F19" i="59"/>
  <c r="G19" i="59" s="1"/>
  <c r="H19" i="59" s="1"/>
  <c r="U21" i="11" s="1"/>
  <c r="F39" i="59"/>
  <c r="G39" i="59" s="1"/>
  <c r="H39" i="59" s="1"/>
  <c r="U41" i="11" s="1"/>
  <c r="F43" i="59"/>
  <c r="G43" i="59" s="1"/>
  <c r="H43" i="59" s="1"/>
  <c r="U45" i="11" s="1"/>
  <c r="F13" i="59"/>
  <c r="G13" i="59" s="1"/>
  <c r="H13" i="59" s="1"/>
  <c r="U15" i="11" s="1"/>
  <c r="F8" i="59"/>
  <c r="G8" i="59" s="1"/>
  <c r="H8" i="59" s="1"/>
  <c r="U10" i="11" s="1"/>
  <c r="F16" i="59"/>
  <c r="G16" i="59" s="1"/>
  <c r="H16" i="59" s="1"/>
  <c r="U18" i="11" s="1"/>
  <c r="F45" i="59"/>
  <c r="G45" i="59" s="1"/>
  <c r="H45" i="59" s="1"/>
  <c r="U47" i="11" s="1"/>
  <c r="F48" i="59"/>
  <c r="G48" i="59" s="1"/>
  <c r="H48" i="59" s="1"/>
  <c r="U50" i="11" s="1"/>
  <c r="F44" i="59"/>
  <c r="G44" i="59" s="1"/>
  <c r="H44" i="59" s="1"/>
  <c r="U46" i="11" s="1"/>
  <c r="F26" i="59"/>
  <c r="G26" i="59" s="1"/>
  <c r="H26" i="59" s="1"/>
  <c r="U28" i="11" s="1"/>
  <c r="F40" i="59"/>
  <c r="G40" i="59" s="1"/>
  <c r="H40" i="59" s="1"/>
  <c r="U42" i="11" s="1"/>
  <c r="F11" i="59"/>
  <c r="G11" i="59" s="1"/>
  <c r="H11" i="59" s="1"/>
  <c r="U13" i="11" s="1"/>
  <c r="F50" i="59"/>
  <c r="G50" i="59" s="1"/>
  <c r="H50" i="59" s="1"/>
  <c r="U52" i="11" s="1"/>
  <c r="F52" i="59"/>
  <c r="G52" i="59" s="1"/>
  <c r="H52" i="59" s="1"/>
  <c r="U54" i="11" s="1"/>
  <c r="F46" i="59"/>
  <c r="G46" i="59" s="1"/>
  <c r="H46" i="59" s="1"/>
  <c r="U48" i="11" s="1"/>
  <c r="F18" i="59"/>
  <c r="G18" i="59" s="1"/>
  <c r="H18" i="59" s="1"/>
  <c r="U20" i="11" s="1"/>
  <c r="F25" i="59"/>
  <c r="G25" i="59" s="1"/>
  <c r="H25" i="59" s="1"/>
  <c r="U27" i="11" s="1"/>
  <c r="F41" i="59"/>
  <c r="G41" i="59" s="1"/>
  <c r="H41" i="59" s="1"/>
  <c r="U43" i="11" s="1"/>
  <c r="F27" i="59"/>
  <c r="G27" i="59" s="1"/>
  <c r="H27" i="59" s="1"/>
  <c r="U29" i="11" s="1"/>
  <c r="F53" i="59"/>
  <c r="G53" i="59" s="1"/>
  <c r="H53" i="59" s="1"/>
  <c r="U55" i="11" s="1"/>
  <c r="F9" i="59"/>
  <c r="G9" i="59" s="1"/>
  <c r="H9" i="59" s="1"/>
  <c r="U11" i="11" s="1"/>
  <c r="F47" i="59"/>
  <c r="G47" i="59" s="1"/>
  <c r="H47" i="59" s="1"/>
  <c r="U49" i="11" s="1"/>
  <c r="F20" i="59"/>
  <c r="G20" i="59" s="1"/>
  <c r="H20" i="59" s="1"/>
  <c r="U22" i="11" s="1"/>
  <c r="F37" i="59"/>
  <c r="G37" i="59" s="1"/>
  <c r="H37" i="59" s="1"/>
  <c r="U39" i="11" s="1"/>
  <c r="F36" i="59"/>
  <c r="G36" i="59" s="1"/>
  <c r="H36" i="59" s="1"/>
  <c r="U38" i="11" s="1"/>
  <c r="F34" i="59"/>
  <c r="G34" i="59" s="1"/>
  <c r="H34" i="59" s="1"/>
  <c r="U36" i="11" s="1"/>
  <c r="F50" i="10"/>
  <c r="G50" i="10" s="1"/>
  <c r="H50" i="10" s="1"/>
  <c r="B52" i="11" s="1"/>
  <c r="F5" i="10"/>
  <c r="G5" i="10" s="1"/>
  <c r="H5" i="10" s="1"/>
  <c r="B7" i="11" s="1"/>
  <c r="F20" i="10"/>
  <c r="G20" i="10" s="1"/>
  <c r="H20" i="10" s="1"/>
  <c r="B22" i="11" s="1"/>
  <c r="F43" i="10"/>
  <c r="G43" i="10" s="1"/>
  <c r="H43" i="10" s="1"/>
  <c r="B45" i="11" s="1"/>
  <c r="F42" i="10"/>
  <c r="G42" i="10" s="1"/>
  <c r="H42" i="10" s="1"/>
  <c r="B44" i="11" s="1"/>
  <c r="F33" i="10"/>
  <c r="G33" i="10" s="1"/>
  <c r="H33" i="10" s="1"/>
  <c r="B35" i="11" s="1"/>
  <c r="F40" i="10"/>
  <c r="G40" i="10" s="1"/>
  <c r="H40" i="10" s="1"/>
  <c r="B42" i="11" s="1"/>
  <c r="F23" i="10"/>
  <c r="G23" i="10" s="1"/>
  <c r="H23" i="10" s="1"/>
  <c r="B25" i="11" s="1"/>
  <c r="F10" i="10"/>
  <c r="G10" i="10" s="1"/>
  <c r="H10" i="10" s="1"/>
  <c r="B12" i="11" s="1"/>
  <c r="F16" i="10"/>
  <c r="G16" i="10" s="1"/>
  <c r="H16" i="10" s="1"/>
  <c r="B18" i="11" s="1"/>
  <c r="F22" i="10"/>
  <c r="G22" i="10" s="1"/>
  <c r="H22" i="10" s="1"/>
  <c r="B24" i="11" s="1"/>
  <c r="F13" i="10"/>
  <c r="G13" i="10" s="1"/>
  <c r="H13" i="10" s="1"/>
  <c r="B15" i="11" s="1"/>
  <c r="F49" i="10"/>
  <c r="G49" i="10" s="1"/>
  <c r="H49" i="10" s="1"/>
  <c r="B51" i="11" s="1"/>
  <c r="F34" i="10"/>
  <c r="G34" i="10" s="1"/>
  <c r="H34" i="10" s="1"/>
  <c r="B36" i="11" s="1"/>
  <c r="F8" i="10"/>
  <c r="G8" i="10" s="1"/>
  <c r="H8" i="10" s="1"/>
  <c r="B10" i="11" s="1"/>
  <c r="F7" i="10"/>
  <c r="G7" i="10" s="1"/>
  <c r="H7" i="10" s="1"/>
  <c r="B9" i="11" s="1"/>
  <c r="F11" i="10"/>
  <c r="G11" i="10" s="1"/>
  <c r="H11" i="10" s="1"/>
  <c r="B13" i="11" s="1"/>
  <c r="F52" i="10"/>
  <c r="G52" i="10" s="1"/>
  <c r="H52" i="10" s="1"/>
  <c r="B54" i="11" s="1"/>
  <c r="F15" i="10"/>
  <c r="G15" i="10" s="1"/>
  <c r="H15" i="10" s="1"/>
  <c r="B17" i="11" s="1"/>
  <c r="F47" i="10"/>
  <c r="G47" i="10" s="1"/>
  <c r="H47" i="10" s="1"/>
  <c r="B49" i="11" s="1"/>
  <c r="F19" i="10"/>
  <c r="G19" i="10" s="1"/>
  <c r="H19" i="10" s="1"/>
  <c r="B21" i="11" s="1"/>
  <c r="F24" i="10"/>
  <c r="G24" i="10" s="1"/>
  <c r="H24" i="10" s="1"/>
  <c r="B26" i="11" s="1"/>
  <c r="F36" i="10"/>
  <c r="G36" i="10" s="1"/>
  <c r="H36" i="10" s="1"/>
  <c r="B38" i="11" s="1"/>
  <c r="F53" i="10"/>
  <c r="G53" i="10" s="1"/>
  <c r="H53" i="10" s="1"/>
  <c r="B55" i="11" s="1"/>
  <c r="F21" i="10"/>
  <c r="G21" i="10" s="1"/>
  <c r="H21" i="10" s="1"/>
  <c r="B23" i="11" s="1"/>
  <c r="F38" i="10"/>
  <c r="G38" i="10" s="1"/>
  <c r="H38" i="10" s="1"/>
  <c r="B40" i="11" s="1"/>
  <c r="F32" i="10"/>
  <c r="G32" i="10" s="1"/>
  <c r="H32" i="10" s="1"/>
  <c r="B34" i="11" s="1"/>
  <c r="F48" i="10"/>
  <c r="G48" i="10" s="1"/>
  <c r="H48" i="10" s="1"/>
  <c r="B50" i="11" s="1"/>
  <c r="F28" i="10"/>
  <c r="G28" i="10" s="1"/>
  <c r="H28" i="10" s="1"/>
  <c r="B30" i="11" s="1"/>
  <c r="F51" i="10"/>
  <c r="G51" i="10" s="1"/>
  <c r="H51" i="10" s="1"/>
  <c r="B53" i="11" s="1"/>
  <c r="F6" i="10"/>
  <c r="G6" i="10" s="1"/>
  <c r="H6" i="10" s="1"/>
  <c r="B8" i="11" s="1"/>
  <c r="F44" i="10"/>
  <c r="G44" i="10" s="1"/>
  <c r="H44" i="10" s="1"/>
  <c r="B46" i="11" s="1"/>
  <c r="F45" i="10"/>
  <c r="G45" i="10" s="1"/>
  <c r="H45" i="10" s="1"/>
  <c r="B47" i="11" s="1"/>
  <c r="F12" i="10"/>
  <c r="G12" i="10" s="1"/>
  <c r="H12" i="10" s="1"/>
  <c r="B14" i="11" s="1"/>
  <c r="F25" i="10"/>
  <c r="G25" i="10" s="1"/>
  <c r="H25" i="10" s="1"/>
  <c r="B27" i="11" s="1"/>
  <c r="F23" i="47"/>
  <c r="G23" i="47" s="1"/>
  <c r="H23" i="47" s="1"/>
  <c r="G25" i="11" s="1"/>
  <c r="F13" i="45"/>
  <c r="G13" i="45" s="1"/>
  <c r="H13" i="45" s="1"/>
  <c r="E15" i="11" s="1"/>
  <c r="F26" i="10"/>
  <c r="G26" i="10" s="1"/>
  <c r="H26" i="10" s="1"/>
  <c r="B28" i="11" s="1"/>
  <c r="F29" i="10"/>
  <c r="G29" i="10" s="1"/>
  <c r="H29" i="10" s="1"/>
  <c r="B31" i="11" s="1"/>
  <c r="F17" i="10"/>
  <c r="G17" i="10" s="1"/>
  <c r="H17" i="10" s="1"/>
  <c r="B19" i="11" s="1"/>
  <c r="F14" i="10"/>
  <c r="G14" i="10" s="1"/>
  <c r="H14" i="10" s="1"/>
  <c r="B16" i="11" s="1"/>
  <c r="F46" i="10"/>
  <c r="G46" i="10" s="1"/>
  <c r="H46" i="10" s="1"/>
  <c r="B48" i="11" s="1"/>
  <c r="F9" i="10"/>
  <c r="G9" i="10" s="1"/>
  <c r="H9" i="10" s="1"/>
  <c r="B11" i="11" s="1"/>
  <c r="F18" i="10"/>
  <c r="G18" i="10" s="1"/>
  <c r="H18" i="10" s="1"/>
  <c r="B20" i="11" s="1"/>
  <c r="F27" i="10"/>
  <c r="G27" i="10" s="1"/>
  <c r="H27" i="10" s="1"/>
  <c r="B29" i="11" s="1"/>
  <c r="F30" i="10"/>
  <c r="G30" i="10" s="1"/>
  <c r="H30" i="10" s="1"/>
  <c r="B32" i="11" s="1"/>
  <c r="F35" i="10"/>
  <c r="G35" i="10" s="1"/>
  <c r="H35" i="10" s="1"/>
  <c r="B37" i="11" s="1"/>
  <c r="F41" i="10"/>
  <c r="G41" i="10" s="1"/>
  <c r="H41" i="10" s="1"/>
  <c r="B43" i="11" s="1"/>
  <c r="F31" i="10"/>
  <c r="G31" i="10" s="1"/>
  <c r="H31" i="10" s="1"/>
  <c r="B33" i="11" s="1"/>
  <c r="F15" i="47"/>
  <c r="G15" i="47" s="1"/>
  <c r="H15" i="47" s="1"/>
  <c r="G17" i="11" s="1"/>
  <c r="C9" i="28"/>
  <c r="C17" i="28"/>
  <c r="C25" i="28"/>
  <c r="C33" i="28"/>
  <c r="C41" i="28"/>
  <c r="C49" i="28"/>
  <c r="C10" i="28"/>
  <c r="C18" i="28"/>
  <c r="C26" i="28"/>
  <c r="C34" i="28"/>
  <c r="C42" i="28"/>
  <c r="C50" i="28"/>
  <c r="C11" i="28"/>
  <c r="C19" i="28"/>
  <c r="C27" i="28"/>
  <c r="C35" i="28"/>
  <c r="C43" i="28"/>
  <c r="C51" i="28"/>
  <c r="C4" i="28"/>
  <c r="D2" i="28" s="1"/>
  <c r="C12" i="28"/>
  <c r="C20" i="28"/>
  <c r="C28" i="28"/>
  <c r="C36" i="28"/>
  <c r="C44" i="28"/>
  <c r="C52" i="28"/>
  <c r="C5" i="28"/>
  <c r="C21" i="28"/>
  <c r="C37" i="28"/>
  <c r="C53" i="28"/>
  <c r="C3" i="28"/>
  <c r="E2" i="28" s="1"/>
  <c r="C6" i="28"/>
  <c r="C22" i="28"/>
  <c r="C38" i="28"/>
  <c r="C7" i="28"/>
  <c r="C23" i="28"/>
  <c r="C39" i="28"/>
  <c r="C8" i="28"/>
  <c r="C24" i="28"/>
  <c r="C40" i="28"/>
  <c r="C13" i="28"/>
  <c r="C29" i="28"/>
  <c r="C45" i="28"/>
  <c r="C14" i="28"/>
  <c r="C30" i="28"/>
  <c r="C46" i="28"/>
  <c r="C15" i="28"/>
  <c r="C31" i="28"/>
  <c r="C47" i="28"/>
  <c r="C16" i="28"/>
  <c r="C32" i="28"/>
  <c r="C48" i="28"/>
  <c r="F33" i="47"/>
  <c r="G33" i="47" s="1"/>
  <c r="H33" i="47" s="1"/>
  <c r="G35" i="11" s="1"/>
  <c r="F9" i="47"/>
  <c r="G9" i="47" s="1"/>
  <c r="H9" i="47" s="1"/>
  <c r="G11" i="11" s="1"/>
  <c r="F31" i="47"/>
  <c r="G31" i="47" s="1"/>
  <c r="H31" i="47" s="1"/>
  <c r="G33" i="11" s="1"/>
  <c r="F22" i="45"/>
  <c r="G22" i="45" s="1"/>
  <c r="H22" i="45" s="1"/>
  <c r="E24" i="11" s="1"/>
  <c r="F45" i="46"/>
  <c r="G45" i="46" s="1"/>
  <c r="H45" i="46" s="1"/>
  <c r="F47" i="11" s="1"/>
  <c r="F47" i="45"/>
  <c r="G47" i="45" s="1"/>
  <c r="H47" i="45" s="1"/>
  <c r="E49" i="11" s="1"/>
  <c r="F20" i="45"/>
  <c r="G20" i="45" s="1"/>
  <c r="H20" i="45" s="1"/>
  <c r="E22" i="11" s="1"/>
  <c r="F19" i="45"/>
  <c r="G19" i="45" s="1"/>
  <c r="H19" i="45" s="1"/>
  <c r="E21" i="11" s="1"/>
  <c r="F25" i="45"/>
  <c r="G25" i="45" s="1"/>
  <c r="H25" i="45" s="1"/>
  <c r="E27" i="11" s="1"/>
  <c r="F43" i="45"/>
  <c r="G43" i="45" s="1"/>
  <c r="H43" i="45" s="1"/>
  <c r="E45" i="11" s="1"/>
  <c r="F46" i="45"/>
  <c r="G46" i="45" s="1"/>
  <c r="H46" i="45" s="1"/>
  <c r="E48" i="11" s="1"/>
  <c r="F30" i="45"/>
  <c r="G30" i="45" s="1"/>
  <c r="H30" i="45" s="1"/>
  <c r="E32" i="11" s="1"/>
  <c r="F32" i="45"/>
  <c r="G32" i="45" s="1"/>
  <c r="H32" i="45" s="1"/>
  <c r="E34" i="11" s="1"/>
  <c r="F23" i="45"/>
  <c r="G23" i="45" s="1"/>
  <c r="H23" i="45" s="1"/>
  <c r="E25" i="11" s="1"/>
  <c r="F5" i="45"/>
  <c r="G5" i="45" s="1"/>
  <c r="H5" i="45" s="1"/>
  <c r="E7" i="11" s="1"/>
  <c r="F14" i="45"/>
  <c r="G14" i="45" s="1"/>
  <c r="H14" i="45" s="1"/>
  <c r="E16" i="11" s="1"/>
  <c r="F9" i="45"/>
  <c r="G9" i="45" s="1"/>
  <c r="H9" i="45" s="1"/>
  <c r="E11" i="11" s="1"/>
  <c r="F52" i="45"/>
  <c r="G52" i="45" s="1"/>
  <c r="H52" i="45" s="1"/>
  <c r="E54" i="11" s="1"/>
  <c r="F35" i="45"/>
  <c r="G35" i="45" s="1"/>
  <c r="H35" i="45" s="1"/>
  <c r="E37" i="11" s="1"/>
  <c r="F39" i="45"/>
  <c r="G39" i="45" s="1"/>
  <c r="H39" i="45" s="1"/>
  <c r="E41" i="11" s="1"/>
  <c r="F36" i="45"/>
  <c r="G36" i="45" s="1"/>
  <c r="H36" i="45" s="1"/>
  <c r="E38" i="11" s="1"/>
  <c r="F7" i="45"/>
  <c r="G7" i="45" s="1"/>
  <c r="H7" i="45" s="1"/>
  <c r="E9" i="11" s="1"/>
  <c r="F12" i="45"/>
  <c r="G12" i="45" s="1"/>
  <c r="H12" i="45" s="1"/>
  <c r="E14" i="11" s="1"/>
  <c r="F48" i="45"/>
  <c r="G48" i="45" s="1"/>
  <c r="H48" i="45" s="1"/>
  <c r="E50" i="11" s="1"/>
  <c r="F26" i="45"/>
  <c r="G26" i="45" s="1"/>
  <c r="H26" i="45" s="1"/>
  <c r="E28" i="11" s="1"/>
  <c r="F44" i="45"/>
  <c r="G44" i="45" s="1"/>
  <c r="H44" i="45" s="1"/>
  <c r="E46" i="11" s="1"/>
  <c r="F45" i="45"/>
  <c r="G45" i="45" s="1"/>
  <c r="H45" i="45" s="1"/>
  <c r="E47" i="11" s="1"/>
  <c r="F8" i="45"/>
  <c r="G8" i="45" s="1"/>
  <c r="H8" i="45" s="1"/>
  <c r="E10" i="11" s="1"/>
  <c r="F27" i="45"/>
  <c r="G27" i="45" s="1"/>
  <c r="H27" i="45" s="1"/>
  <c r="E29" i="11" s="1"/>
  <c r="F21" i="45"/>
  <c r="G21" i="45" s="1"/>
  <c r="H21" i="45" s="1"/>
  <c r="E23" i="11" s="1"/>
  <c r="F38" i="45"/>
  <c r="G38" i="45" s="1"/>
  <c r="H38" i="45" s="1"/>
  <c r="E40" i="11" s="1"/>
  <c r="F11" i="45"/>
  <c r="G11" i="45" s="1"/>
  <c r="H11" i="45" s="1"/>
  <c r="E13" i="11" s="1"/>
  <c r="F40" i="45"/>
  <c r="G40" i="45" s="1"/>
  <c r="H40" i="45" s="1"/>
  <c r="E42" i="11" s="1"/>
  <c r="F15" i="45"/>
  <c r="G15" i="45" s="1"/>
  <c r="H15" i="45" s="1"/>
  <c r="E17" i="11" s="1"/>
  <c r="F51" i="45"/>
  <c r="G51" i="45" s="1"/>
  <c r="H51" i="45" s="1"/>
  <c r="E53" i="11" s="1"/>
  <c r="F12" i="47"/>
  <c r="G12" i="47" s="1"/>
  <c r="H12" i="47" s="1"/>
  <c r="G14" i="11" s="1"/>
  <c r="F36" i="47"/>
  <c r="G36" i="47" s="1"/>
  <c r="H36" i="47" s="1"/>
  <c r="G38" i="11" s="1"/>
  <c r="F34" i="47"/>
  <c r="G34" i="47" s="1"/>
  <c r="H34" i="47" s="1"/>
  <c r="G36" i="11" s="1"/>
  <c r="F18" i="47"/>
  <c r="G18" i="47" s="1"/>
  <c r="H18" i="47" s="1"/>
  <c r="G20" i="11" s="1"/>
  <c r="F10" i="47"/>
  <c r="G10" i="47" s="1"/>
  <c r="H10" i="47" s="1"/>
  <c r="G12" i="11" s="1"/>
  <c r="F43" i="47"/>
  <c r="G43" i="47" s="1"/>
  <c r="H43" i="47" s="1"/>
  <c r="G45" i="11" s="1"/>
  <c r="F30" i="47"/>
  <c r="G30" i="47" s="1"/>
  <c r="H30" i="47" s="1"/>
  <c r="G32" i="11" s="1"/>
  <c r="F17" i="47"/>
  <c r="G17" i="47" s="1"/>
  <c r="H17" i="47" s="1"/>
  <c r="G19" i="11" s="1"/>
  <c r="F38" i="47"/>
  <c r="G38" i="47" s="1"/>
  <c r="H38" i="47" s="1"/>
  <c r="G40" i="11" s="1"/>
  <c r="F46" i="47"/>
  <c r="G46" i="47" s="1"/>
  <c r="H46" i="47" s="1"/>
  <c r="G48" i="11" s="1"/>
  <c r="F40" i="47"/>
  <c r="G40" i="47" s="1"/>
  <c r="H40" i="47" s="1"/>
  <c r="G42" i="11" s="1"/>
  <c r="F7" i="47"/>
  <c r="G7" i="47" s="1"/>
  <c r="H7" i="47" s="1"/>
  <c r="G9" i="11" s="1"/>
  <c r="F45" i="47"/>
  <c r="G45" i="47" s="1"/>
  <c r="H45" i="47" s="1"/>
  <c r="G47" i="11" s="1"/>
  <c r="F26" i="47"/>
  <c r="G26" i="47" s="1"/>
  <c r="H26" i="47" s="1"/>
  <c r="G28" i="11" s="1"/>
  <c r="F5" i="47"/>
  <c r="G5" i="47" s="1"/>
  <c r="H5" i="47" s="1"/>
  <c r="G7" i="11" s="1"/>
  <c r="F48" i="47"/>
  <c r="G48" i="47" s="1"/>
  <c r="H48" i="47" s="1"/>
  <c r="G50" i="11" s="1"/>
  <c r="F37" i="47"/>
  <c r="G37" i="47" s="1"/>
  <c r="H37" i="47" s="1"/>
  <c r="G39" i="11" s="1"/>
  <c r="F47" i="47"/>
  <c r="G47" i="47" s="1"/>
  <c r="H47" i="47" s="1"/>
  <c r="G49" i="11" s="1"/>
  <c r="F8" i="47"/>
  <c r="G8" i="47" s="1"/>
  <c r="H8" i="47" s="1"/>
  <c r="G10" i="11" s="1"/>
  <c r="F42" i="47"/>
  <c r="G42" i="47" s="1"/>
  <c r="H42" i="47" s="1"/>
  <c r="G44" i="11" s="1"/>
  <c r="F13" i="47"/>
  <c r="G13" i="47" s="1"/>
  <c r="H13" i="47" s="1"/>
  <c r="G15" i="11" s="1"/>
  <c r="F51" i="47"/>
  <c r="G51" i="47" s="1"/>
  <c r="H51" i="47" s="1"/>
  <c r="G53" i="11" s="1"/>
  <c r="F35" i="47"/>
  <c r="G35" i="47" s="1"/>
  <c r="H35" i="47" s="1"/>
  <c r="G37" i="11" s="1"/>
  <c r="F20" i="47"/>
  <c r="G20" i="47" s="1"/>
  <c r="H20" i="47" s="1"/>
  <c r="G22" i="11" s="1"/>
  <c r="F49" i="46"/>
  <c r="G49" i="46" s="1"/>
  <c r="H49" i="46" s="1"/>
  <c r="F51" i="11" s="1"/>
  <c r="F37" i="45"/>
  <c r="G37" i="45" s="1"/>
  <c r="H37" i="45" s="1"/>
  <c r="E39" i="11" s="1"/>
  <c r="F53" i="45"/>
  <c r="G53" i="45" s="1"/>
  <c r="H53" i="45" s="1"/>
  <c r="E55" i="11" s="1"/>
  <c r="F33" i="45"/>
  <c r="G33" i="45" s="1"/>
  <c r="H33" i="45" s="1"/>
  <c r="E35" i="11" s="1"/>
  <c r="F29" i="45"/>
  <c r="G29" i="45" s="1"/>
  <c r="H29" i="45" s="1"/>
  <c r="E31" i="11" s="1"/>
  <c r="F42" i="45"/>
  <c r="G42" i="45" s="1"/>
  <c r="H42" i="45" s="1"/>
  <c r="E44" i="11" s="1"/>
  <c r="F50" i="45"/>
  <c r="G50" i="45" s="1"/>
  <c r="H50" i="45" s="1"/>
  <c r="E52" i="11" s="1"/>
  <c r="F41" i="45"/>
  <c r="G41" i="45" s="1"/>
  <c r="H41" i="45" s="1"/>
  <c r="E43" i="11" s="1"/>
  <c r="F6" i="45"/>
  <c r="G6" i="45" s="1"/>
  <c r="H6" i="45" s="1"/>
  <c r="E8" i="11" s="1"/>
  <c r="F49" i="45"/>
  <c r="G49" i="45" s="1"/>
  <c r="H49" i="45" s="1"/>
  <c r="E51" i="11" s="1"/>
  <c r="F17" i="45"/>
  <c r="G17" i="45" s="1"/>
  <c r="H17" i="45" s="1"/>
  <c r="E19" i="11" s="1"/>
  <c r="F34" i="45"/>
  <c r="G34" i="45" s="1"/>
  <c r="H34" i="45" s="1"/>
  <c r="E36" i="11" s="1"/>
  <c r="F31" i="45"/>
  <c r="G31" i="45" s="1"/>
  <c r="H31" i="45" s="1"/>
  <c r="E33" i="11" s="1"/>
  <c r="F10" i="45"/>
  <c r="G10" i="45" s="1"/>
  <c r="H10" i="45" s="1"/>
  <c r="E12" i="11" s="1"/>
  <c r="F28" i="45"/>
  <c r="G28" i="45" s="1"/>
  <c r="H28" i="45" s="1"/>
  <c r="E30" i="11" s="1"/>
  <c r="F24" i="45"/>
  <c r="G24" i="45" s="1"/>
  <c r="H24" i="45" s="1"/>
  <c r="E26" i="11" s="1"/>
  <c r="F18" i="45"/>
  <c r="G18" i="45" s="1"/>
  <c r="H18" i="45" s="1"/>
  <c r="E20" i="11" s="1"/>
  <c r="F16" i="45"/>
  <c r="G16" i="45" s="1"/>
  <c r="H16" i="45" s="1"/>
  <c r="E18" i="11" s="1"/>
  <c r="F52" i="47"/>
  <c r="G52" i="47" s="1"/>
  <c r="H52" i="47" s="1"/>
  <c r="G54" i="11" s="1"/>
  <c r="F50" i="47"/>
  <c r="G50" i="47" s="1"/>
  <c r="H50" i="47" s="1"/>
  <c r="G52" i="11" s="1"/>
  <c r="F25" i="47"/>
  <c r="G25" i="47" s="1"/>
  <c r="H25" i="47" s="1"/>
  <c r="G27" i="11" s="1"/>
  <c r="F28" i="47"/>
  <c r="G28" i="47" s="1"/>
  <c r="H28" i="47" s="1"/>
  <c r="G30" i="11" s="1"/>
  <c r="F41" i="47"/>
  <c r="G41" i="47" s="1"/>
  <c r="H41" i="47" s="1"/>
  <c r="G43" i="11" s="1"/>
  <c r="F49" i="47"/>
  <c r="G49" i="47" s="1"/>
  <c r="H49" i="47" s="1"/>
  <c r="G51" i="11" s="1"/>
  <c r="F44" i="47"/>
  <c r="G44" i="47" s="1"/>
  <c r="H44" i="47" s="1"/>
  <c r="G46" i="11" s="1"/>
  <c r="F19" i="47"/>
  <c r="G19" i="47" s="1"/>
  <c r="H19" i="47" s="1"/>
  <c r="G21" i="11" s="1"/>
  <c r="F11" i="47"/>
  <c r="G11" i="47" s="1"/>
  <c r="H11" i="47" s="1"/>
  <c r="G13" i="11" s="1"/>
  <c r="F27" i="47"/>
  <c r="G27" i="47" s="1"/>
  <c r="H27" i="47" s="1"/>
  <c r="G29" i="11" s="1"/>
  <c r="F24" i="47"/>
  <c r="G24" i="47" s="1"/>
  <c r="H24" i="47" s="1"/>
  <c r="G26" i="11" s="1"/>
  <c r="F29" i="47"/>
  <c r="G29" i="47" s="1"/>
  <c r="H29" i="47" s="1"/>
  <c r="G31" i="11" s="1"/>
  <c r="F6" i="47"/>
  <c r="G6" i="47" s="1"/>
  <c r="H6" i="47" s="1"/>
  <c r="G8" i="11" s="1"/>
  <c r="F14" i="47"/>
  <c r="G14" i="47" s="1"/>
  <c r="H14" i="47" s="1"/>
  <c r="G16" i="11" s="1"/>
  <c r="F22" i="47"/>
  <c r="G22" i="47" s="1"/>
  <c r="H22" i="47" s="1"/>
  <c r="G24" i="11" s="1"/>
  <c r="F21" i="47"/>
  <c r="G21" i="47" s="1"/>
  <c r="H21" i="47" s="1"/>
  <c r="G23" i="11" s="1"/>
  <c r="F53" i="47"/>
  <c r="G53" i="47" s="1"/>
  <c r="H53" i="47" s="1"/>
  <c r="G55" i="11" s="1"/>
  <c r="F32" i="47"/>
  <c r="G32" i="47" s="1"/>
  <c r="H32" i="47" s="1"/>
  <c r="G34" i="11" s="1"/>
  <c r="F39" i="47"/>
  <c r="G39" i="47" s="1"/>
  <c r="H39" i="47" s="1"/>
  <c r="G41" i="11" s="1"/>
  <c r="F16" i="47"/>
  <c r="G16" i="47" s="1"/>
  <c r="H16" i="47" s="1"/>
  <c r="G18" i="11" s="1"/>
  <c r="F12" i="46"/>
  <c r="G12" i="46" s="1"/>
  <c r="H12" i="46" s="1"/>
  <c r="F14" i="11" s="1"/>
  <c r="F40" i="46"/>
  <c r="G40" i="46" s="1"/>
  <c r="H40" i="46" s="1"/>
  <c r="F42" i="11" s="1"/>
  <c r="F26" i="46"/>
  <c r="G26" i="46" s="1"/>
  <c r="H26" i="46" s="1"/>
  <c r="F28" i="11" s="1"/>
  <c r="F42" i="46"/>
  <c r="G42" i="46" s="1"/>
  <c r="H42" i="46" s="1"/>
  <c r="F44" i="11" s="1"/>
  <c r="F28" i="46"/>
  <c r="G28" i="46" s="1"/>
  <c r="H28" i="46" s="1"/>
  <c r="F30" i="11" s="1"/>
  <c r="F20" i="46"/>
  <c r="G20" i="46" s="1"/>
  <c r="H20" i="46" s="1"/>
  <c r="F22" i="11" s="1"/>
  <c r="F9" i="46"/>
  <c r="G9" i="46" s="1"/>
  <c r="H9" i="46" s="1"/>
  <c r="F11" i="11" s="1"/>
  <c r="F15" i="46"/>
  <c r="G15" i="46" s="1"/>
  <c r="H15" i="46" s="1"/>
  <c r="F17" i="11" s="1"/>
  <c r="F53" i="46"/>
  <c r="G53" i="46" s="1"/>
  <c r="H53" i="46" s="1"/>
  <c r="F55" i="11" s="1"/>
  <c r="F8" i="46"/>
  <c r="G8" i="46" s="1"/>
  <c r="H8" i="46" s="1"/>
  <c r="F10" i="11" s="1"/>
  <c r="F47" i="46"/>
  <c r="G47" i="46" s="1"/>
  <c r="H47" i="46" s="1"/>
  <c r="F49" i="11" s="1"/>
  <c r="F10" i="46"/>
  <c r="G10" i="46" s="1"/>
  <c r="H10" i="46" s="1"/>
  <c r="F12" i="11" s="1"/>
  <c r="F33" i="46"/>
  <c r="G33" i="46" s="1"/>
  <c r="H33" i="46" s="1"/>
  <c r="F35" i="11" s="1"/>
  <c r="F44" i="46"/>
  <c r="G44" i="46" s="1"/>
  <c r="H44" i="46" s="1"/>
  <c r="F46" i="11" s="1"/>
  <c r="F6" i="46"/>
  <c r="G6" i="46" s="1"/>
  <c r="H6" i="46" s="1"/>
  <c r="F8" i="11" s="1"/>
  <c r="F16" i="46"/>
  <c r="G16" i="46" s="1"/>
  <c r="H16" i="46" s="1"/>
  <c r="F18" i="11" s="1"/>
  <c r="F46" i="46"/>
  <c r="G46" i="46" s="1"/>
  <c r="H46" i="46" s="1"/>
  <c r="F48" i="11" s="1"/>
  <c r="F27" i="46"/>
  <c r="G27" i="46" s="1"/>
  <c r="H27" i="46" s="1"/>
  <c r="F29" i="11" s="1"/>
  <c r="F41" i="46"/>
  <c r="G41" i="46" s="1"/>
  <c r="H41" i="46" s="1"/>
  <c r="F43" i="11" s="1"/>
  <c r="F38" i="46"/>
  <c r="G38" i="46" s="1"/>
  <c r="H38" i="46" s="1"/>
  <c r="F40" i="11" s="1"/>
  <c r="F23" i="46"/>
  <c r="G23" i="46" s="1"/>
  <c r="H23" i="46" s="1"/>
  <c r="F25" i="11" s="1"/>
  <c r="F25" i="46"/>
  <c r="G25" i="46" s="1"/>
  <c r="H25" i="46" s="1"/>
  <c r="F27" i="11" s="1"/>
  <c r="F14" i="46"/>
  <c r="G14" i="46" s="1"/>
  <c r="H14" i="46" s="1"/>
  <c r="F16" i="11" s="1"/>
  <c r="F29" i="46"/>
  <c r="G29" i="46" s="1"/>
  <c r="H29" i="46" s="1"/>
  <c r="F31" i="11" s="1"/>
  <c r="F8" i="48"/>
  <c r="G8" i="48" s="1"/>
  <c r="H8" i="48" s="1"/>
  <c r="H10" i="11" s="1"/>
  <c r="F21" i="46"/>
  <c r="G21" i="46" s="1"/>
  <c r="H21" i="46" s="1"/>
  <c r="F23" i="11" s="1"/>
  <c r="F13" i="46"/>
  <c r="G13" i="46" s="1"/>
  <c r="H13" i="46" s="1"/>
  <c r="F15" i="11" s="1"/>
  <c r="F43" i="46"/>
  <c r="G43" i="46" s="1"/>
  <c r="H43" i="46" s="1"/>
  <c r="F45" i="11" s="1"/>
  <c r="F35" i="46"/>
  <c r="G35" i="46" s="1"/>
  <c r="H35" i="46" s="1"/>
  <c r="F37" i="11" s="1"/>
  <c r="F5" i="46"/>
  <c r="G5" i="46" s="1"/>
  <c r="F22" i="46"/>
  <c r="G22" i="46" s="1"/>
  <c r="H22" i="46" s="1"/>
  <c r="F24" i="11" s="1"/>
  <c r="F37" i="46"/>
  <c r="G37" i="46" s="1"/>
  <c r="H37" i="46" s="1"/>
  <c r="F39" i="11" s="1"/>
  <c r="F51" i="46"/>
  <c r="G51" i="46" s="1"/>
  <c r="H51" i="46" s="1"/>
  <c r="F53" i="11" s="1"/>
  <c r="F52" i="46"/>
  <c r="G52" i="46" s="1"/>
  <c r="H52" i="46" s="1"/>
  <c r="F54" i="11" s="1"/>
  <c r="F19" i="46"/>
  <c r="G19" i="46" s="1"/>
  <c r="H19" i="46" s="1"/>
  <c r="F21" i="11" s="1"/>
  <c r="F34" i="46"/>
  <c r="G34" i="46" s="1"/>
  <c r="H34" i="46" s="1"/>
  <c r="F36" i="11" s="1"/>
  <c r="F30" i="46"/>
  <c r="G30" i="46" s="1"/>
  <c r="H30" i="46" s="1"/>
  <c r="F32" i="11" s="1"/>
  <c r="F11" i="46"/>
  <c r="G11" i="46" s="1"/>
  <c r="H11" i="46" s="1"/>
  <c r="F13" i="11" s="1"/>
  <c r="F36" i="46"/>
  <c r="G36" i="46" s="1"/>
  <c r="H36" i="46" s="1"/>
  <c r="F38" i="11" s="1"/>
  <c r="F48" i="46"/>
  <c r="G48" i="46" s="1"/>
  <c r="H48" i="46" s="1"/>
  <c r="F50" i="11" s="1"/>
  <c r="F50" i="46"/>
  <c r="G50" i="46" s="1"/>
  <c r="H50" i="46" s="1"/>
  <c r="F52" i="11" s="1"/>
  <c r="F17" i="46"/>
  <c r="G17" i="46" s="1"/>
  <c r="H17" i="46" s="1"/>
  <c r="F19" i="11" s="1"/>
  <c r="F7" i="46"/>
  <c r="G7" i="46" s="1"/>
  <c r="H7" i="46" s="1"/>
  <c r="F9" i="11" s="1"/>
  <c r="F24" i="46"/>
  <c r="G24" i="46" s="1"/>
  <c r="H24" i="46" s="1"/>
  <c r="F26" i="11" s="1"/>
  <c r="F32" i="46"/>
  <c r="G32" i="46" s="1"/>
  <c r="H32" i="46" s="1"/>
  <c r="F34" i="11" s="1"/>
  <c r="F31" i="46"/>
  <c r="G31" i="46" s="1"/>
  <c r="H31" i="46" s="1"/>
  <c r="F33" i="11" s="1"/>
  <c r="F18" i="46"/>
  <c r="G18" i="46" s="1"/>
  <c r="H18" i="46" s="1"/>
  <c r="F20" i="11" s="1"/>
  <c r="F39" i="46"/>
  <c r="G39" i="46" s="1"/>
  <c r="H39" i="46" s="1"/>
  <c r="F41" i="11" s="1"/>
  <c r="F47" i="48"/>
  <c r="G47" i="48" s="1"/>
  <c r="H47" i="48" s="1"/>
  <c r="H49" i="11" s="1"/>
  <c r="F52" i="48"/>
  <c r="G52" i="48" s="1"/>
  <c r="H52" i="48" s="1"/>
  <c r="H54" i="11" s="1"/>
  <c r="F16" i="48"/>
  <c r="G16" i="48" s="1"/>
  <c r="H16" i="48" s="1"/>
  <c r="H18" i="11" s="1"/>
  <c r="F9" i="48"/>
  <c r="G9" i="48" s="1"/>
  <c r="H9" i="48" s="1"/>
  <c r="H11" i="11" s="1"/>
  <c r="F29" i="48"/>
  <c r="G29" i="48" s="1"/>
  <c r="H29" i="48" s="1"/>
  <c r="H31" i="11" s="1"/>
  <c r="F30" i="48"/>
  <c r="G30" i="48" s="1"/>
  <c r="H30" i="48" s="1"/>
  <c r="H32" i="11" s="1"/>
  <c r="F6" i="48"/>
  <c r="G6" i="48" s="1"/>
  <c r="H6" i="48" s="1"/>
  <c r="H8" i="11" s="1"/>
  <c r="F48" i="48"/>
  <c r="G48" i="48" s="1"/>
  <c r="H48" i="48" s="1"/>
  <c r="H50" i="11" s="1"/>
  <c r="F12" i="48"/>
  <c r="G12" i="48" s="1"/>
  <c r="H12" i="48" s="1"/>
  <c r="H14" i="11" s="1"/>
  <c r="F37" i="48"/>
  <c r="G37" i="48" s="1"/>
  <c r="H37" i="48" s="1"/>
  <c r="H39" i="11" s="1"/>
  <c r="F14" i="48"/>
  <c r="G14" i="48" s="1"/>
  <c r="H14" i="48" s="1"/>
  <c r="H16" i="11" s="1"/>
  <c r="F34" i="48"/>
  <c r="G34" i="48" s="1"/>
  <c r="H34" i="48" s="1"/>
  <c r="H36" i="11" s="1"/>
  <c r="F43" i="48"/>
  <c r="G43" i="48" s="1"/>
  <c r="H43" i="48" s="1"/>
  <c r="H45" i="11" s="1"/>
  <c r="F45" i="48"/>
  <c r="G45" i="48" s="1"/>
  <c r="H45" i="48" s="1"/>
  <c r="H47" i="11" s="1"/>
  <c r="F25" i="48"/>
  <c r="G25" i="48" s="1"/>
  <c r="H25" i="48" s="1"/>
  <c r="H27" i="11" s="1"/>
  <c r="F28" i="48"/>
  <c r="G28" i="48" s="1"/>
  <c r="H28" i="48" s="1"/>
  <c r="H30" i="11" s="1"/>
  <c r="F50" i="48"/>
  <c r="G50" i="48" s="1"/>
  <c r="H50" i="48" s="1"/>
  <c r="H52" i="11" s="1"/>
  <c r="F39" i="48"/>
  <c r="G39" i="48" s="1"/>
  <c r="H39" i="48" s="1"/>
  <c r="H41" i="11" s="1"/>
  <c r="F11" i="48"/>
  <c r="G11" i="48" s="1"/>
  <c r="H11" i="48" s="1"/>
  <c r="H13" i="11" s="1"/>
  <c r="F40" i="48"/>
  <c r="G40" i="48" s="1"/>
  <c r="H40" i="48" s="1"/>
  <c r="H42" i="11" s="1"/>
  <c r="F5" i="48"/>
  <c r="G5" i="48" s="1"/>
  <c r="H5" i="48" s="1"/>
  <c r="H7" i="11" s="1"/>
  <c r="F33" i="48"/>
  <c r="G33" i="48" s="1"/>
  <c r="H33" i="48" s="1"/>
  <c r="H35" i="11" s="1"/>
  <c r="F21" i="48"/>
  <c r="G21" i="48" s="1"/>
  <c r="H21" i="48" s="1"/>
  <c r="H23" i="11" s="1"/>
  <c r="F35" i="48"/>
  <c r="G35" i="48" s="1"/>
  <c r="H35" i="48" s="1"/>
  <c r="H37" i="11" s="1"/>
  <c r="F44" i="48"/>
  <c r="G44" i="48" s="1"/>
  <c r="H44" i="48" s="1"/>
  <c r="H46" i="11" s="1"/>
  <c r="F23" i="48"/>
  <c r="G23" i="48" s="1"/>
  <c r="H23" i="48" s="1"/>
  <c r="H25" i="11" s="1"/>
  <c r="F17" i="48"/>
  <c r="G17" i="48" s="1"/>
  <c r="H17" i="48" s="1"/>
  <c r="H19" i="11" s="1"/>
  <c r="F10" i="48"/>
  <c r="G10" i="48" s="1"/>
  <c r="H10" i="48" s="1"/>
  <c r="H12" i="11" s="1"/>
  <c r="F41" i="48"/>
  <c r="G41" i="48" s="1"/>
  <c r="H41" i="48" s="1"/>
  <c r="H43" i="11" s="1"/>
  <c r="F15" i="48"/>
  <c r="G15" i="48" s="1"/>
  <c r="H15" i="48" s="1"/>
  <c r="H17" i="11" s="1"/>
  <c r="F18" i="48"/>
  <c r="G18" i="48" s="1"/>
  <c r="H18" i="48" s="1"/>
  <c r="H20" i="11" s="1"/>
  <c r="F38" i="48"/>
  <c r="G38" i="48" s="1"/>
  <c r="H38" i="48" s="1"/>
  <c r="H40" i="11" s="1"/>
  <c r="F46" i="48"/>
  <c r="G46" i="48" s="1"/>
  <c r="H46" i="48" s="1"/>
  <c r="H48" i="11" s="1"/>
  <c r="F27" i="48"/>
  <c r="G27" i="48" s="1"/>
  <c r="H27" i="48" s="1"/>
  <c r="H29" i="11" s="1"/>
  <c r="F13" i="48"/>
  <c r="G13" i="48" s="1"/>
  <c r="H13" i="48" s="1"/>
  <c r="H15" i="11" s="1"/>
  <c r="F26" i="48"/>
  <c r="G26" i="48" s="1"/>
  <c r="H26" i="48" s="1"/>
  <c r="H28" i="11" s="1"/>
  <c r="F20" i="48"/>
  <c r="G20" i="48" s="1"/>
  <c r="H20" i="48" s="1"/>
  <c r="H22" i="11" s="1"/>
  <c r="F42" i="48"/>
  <c r="G42" i="48" s="1"/>
  <c r="H42" i="48" s="1"/>
  <c r="H44" i="11" s="1"/>
  <c r="F51" i="48"/>
  <c r="G51" i="48" s="1"/>
  <c r="H51" i="48" s="1"/>
  <c r="H53" i="11" s="1"/>
  <c r="F32" i="48"/>
  <c r="G32" i="48" s="1"/>
  <c r="H32" i="48" s="1"/>
  <c r="H34" i="11" s="1"/>
  <c r="F31" i="48"/>
  <c r="G31" i="48" s="1"/>
  <c r="H31" i="48" s="1"/>
  <c r="H33" i="11" s="1"/>
  <c r="F36" i="48"/>
  <c r="G36" i="48" s="1"/>
  <c r="H36" i="48" s="1"/>
  <c r="H38" i="11" s="1"/>
  <c r="F49" i="48"/>
  <c r="G49" i="48" s="1"/>
  <c r="H49" i="48" s="1"/>
  <c r="H51" i="11" s="1"/>
  <c r="F19" i="48"/>
  <c r="G19" i="48" s="1"/>
  <c r="H19" i="48" s="1"/>
  <c r="H21" i="11" s="1"/>
  <c r="F7" i="48"/>
  <c r="G7" i="48" s="1"/>
  <c r="H7" i="48" s="1"/>
  <c r="H9" i="11" s="1"/>
  <c r="F22" i="48"/>
  <c r="G22" i="48" s="1"/>
  <c r="H22" i="48" s="1"/>
  <c r="H24" i="11" s="1"/>
  <c r="F53" i="48"/>
  <c r="G53" i="48" s="1"/>
  <c r="H53" i="48" s="1"/>
  <c r="H55" i="11" s="1"/>
  <c r="F24" i="48"/>
  <c r="G24" i="48" s="1"/>
  <c r="H24" i="48" s="1"/>
  <c r="H26" i="11" s="1"/>
  <c r="AJ42" i="7"/>
  <c r="AK42" i="7" s="1"/>
  <c r="AT42" i="7"/>
  <c r="AS42" i="7"/>
  <c r="AC109" i="11"/>
  <c r="AC110" i="11"/>
  <c r="H7" i="26" l="1"/>
  <c r="H8" i="26" s="1"/>
  <c r="H9" i="26" s="1"/>
  <c r="H10" i="26" s="1"/>
  <c r="H11" i="26" s="1"/>
  <c r="H12" i="26" s="1"/>
  <c r="H13" i="26" s="1"/>
  <c r="H14" i="26" s="1"/>
  <c r="H15" i="26" s="1"/>
  <c r="H16" i="26" s="1"/>
  <c r="H17" i="26" s="1"/>
  <c r="H18" i="26" s="1"/>
  <c r="H19" i="26" s="1"/>
  <c r="H20" i="26" s="1"/>
  <c r="H21" i="26" s="1"/>
  <c r="H22" i="26" s="1"/>
  <c r="H23" i="26" s="1"/>
  <c r="H24" i="26" s="1"/>
  <c r="H25" i="26" s="1"/>
  <c r="H26" i="26" s="1"/>
  <c r="H27" i="26" s="1"/>
  <c r="H28" i="26" s="1"/>
  <c r="H29" i="26" s="1"/>
  <c r="H30" i="26" s="1"/>
  <c r="H31" i="26" s="1"/>
  <c r="H32" i="26" s="1"/>
  <c r="H33" i="26" s="1"/>
  <c r="H34" i="26" s="1"/>
  <c r="H35" i="26" s="1"/>
  <c r="H36" i="26" s="1"/>
  <c r="H37" i="26" s="1"/>
  <c r="H38" i="26" s="1"/>
  <c r="H39" i="26" s="1"/>
  <c r="H40" i="26" s="1"/>
  <c r="H41" i="26" s="1"/>
  <c r="H42" i="26" s="1"/>
  <c r="H43" i="26" s="1"/>
  <c r="H44" i="26" s="1"/>
  <c r="H45" i="26" s="1"/>
  <c r="H46" i="26" s="1"/>
  <c r="H47" i="26" s="1"/>
  <c r="H48" i="26" s="1"/>
  <c r="H49" i="26" s="1"/>
  <c r="H50" i="26" s="1"/>
  <c r="H51" i="26" s="1"/>
  <c r="H52" i="26" s="1"/>
  <c r="H53" i="26" s="1"/>
  <c r="AT18" i="7"/>
  <c r="AJ18" i="7"/>
  <c r="AK18" i="7" s="1"/>
  <c r="G56" i="26"/>
  <c r="H59" i="68"/>
  <c r="G59" i="68" s="1"/>
  <c r="H60" i="68"/>
  <c r="T110" i="11"/>
  <c r="F53" i="38"/>
  <c r="G53" i="38" s="1"/>
  <c r="K110" i="11"/>
  <c r="F20" i="38"/>
  <c r="G20" i="38" s="1"/>
  <c r="G55" i="13"/>
  <c r="G56" i="15"/>
  <c r="AD107" i="11"/>
  <c r="H55" i="15"/>
  <c r="G55" i="15" s="1"/>
  <c r="H56" i="15"/>
  <c r="F34" i="38"/>
  <c r="G34" i="38" s="1"/>
  <c r="F11" i="38"/>
  <c r="G11" i="38" s="1"/>
  <c r="F37" i="38"/>
  <c r="G37" i="38" s="1"/>
  <c r="F39" i="38"/>
  <c r="G39" i="38" s="1"/>
  <c r="F25" i="38"/>
  <c r="G25" i="38" s="1"/>
  <c r="F36" i="38"/>
  <c r="G36" i="38" s="1"/>
  <c r="F17" i="38"/>
  <c r="G17" i="38" s="1"/>
  <c r="F13" i="38"/>
  <c r="G13" i="38" s="1"/>
  <c r="L107" i="11"/>
  <c r="L109" i="11" s="1"/>
  <c r="F50" i="38"/>
  <c r="G50" i="38" s="1"/>
  <c r="F8" i="38"/>
  <c r="G8" i="38" s="1"/>
  <c r="F24" i="38"/>
  <c r="G24" i="38" s="1"/>
  <c r="F40" i="38"/>
  <c r="G40" i="38" s="1"/>
  <c r="F23" i="38"/>
  <c r="G23" i="38" s="1"/>
  <c r="F14" i="38"/>
  <c r="G14" i="38" s="1"/>
  <c r="F6" i="38"/>
  <c r="G6" i="38" s="1"/>
  <c r="F29" i="38"/>
  <c r="G29" i="38" s="1"/>
  <c r="F38" i="38"/>
  <c r="G38" i="38" s="1"/>
  <c r="F30" i="38"/>
  <c r="G30" i="38" s="1"/>
  <c r="F7" i="38"/>
  <c r="G7" i="38" s="1"/>
  <c r="F10" i="38"/>
  <c r="G10" i="38" s="1"/>
  <c r="F12" i="38"/>
  <c r="G12" i="38" s="1"/>
  <c r="F49" i="38"/>
  <c r="G49" i="38" s="1"/>
  <c r="F42" i="38"/>
  <c r="G42" i="38" s="1"/>
  <c r="G56" i="51"/>
  <c r="F32" i="38"/>
  <c r="G32" i="38" s="1"/>
  <c r="F21" i="38"/>
  <c r="G21" i="38" s="1"/>
  <c r="F44" i="38"/>
  <c r="G44" i="38" s="1"/>
  <c r="F35" i="38"/>
  <c r="G35" i="38" s="1"/>
  <c r="F51" i="38"/>
  <c r="G51" i="38" s="1"/>
  <c r="F28" i="38"/>
  <c r="G28" i="38" s="1"/>
  <c r="F27" i="38"/>
  <c r="G27" i="38" s="1"/>
  <c r="F43" i="38"/>
  <c r="G43" i="38" s="1"/>
  <c r="F15" i="38"/>
  <c r="G15" i="38" s="1"/>
  <c r="F47" i="38"/>
  <c r="G47" i="38" s="1"/>
  <c r="F19" i="38"/>
  <c r="G19" i="38" s="1"/>
  <c r="F41" i="38"/>
  <c r="G41" i="38" s="1"/>
  <c r="F5" i="38"/>
  <c r="G5" i="38" s="1"/>
  <c r="F48" i="38"/>
  <c r="G48" i="38" s="1"/>
  <c r="F18" i="38"/>
  <c r="G18" i="38" s="1"/>
  <c r="F45" i="38"/>
  <c r="G45" i="38" s="1"/>
  <c r="F22" i="38"/>
  <c r="G22" i="38" s="1"/>
  <c r="F52" i="38"/>
  <c r="G52" i="38" s="1"/>
  <c r="F9" i="38"/>
  <c r="G9" i="38" s="1"/>
  <c r="F31" i="38"/>
  <c r="G31" i="38" s="1"/>
  <c r="F46" i="38"/>
  <c r="G46" i="38" s="1"/>
  <c r="F26" i="38"/>
  <c r="G26" i="38" s="1"/>
  <c r="F16" i="38"/>
  <c r="G16" i="38" s="1"/>
  <c r="F33" i="38"/>
  <c r="G33" i="38" s="1"/>
  <c r="F45" i="40"/>
  <c r="G45" i="40" s="1"/>
  <c r="F47" i="40"/>
  <c r="G47" i="40" s="1"/>
  <c r="V107" i="11"/>
  <c r="V109" i="11" s="1"/>
  <c r="F14" i="40"/>
  <c r="G14" i="40" s="1"/>
  <c r="G56" i="60"/>
  <c r="F15" i="40"/>
  <c r="G15" i="40" s="1"/>
  <c r="F41" i="40"/>
  <c r="G41" i="40" s="1"/>
  <c r="F21" i="40"/>
  <c r="G21" i="40" s="1"/>
  <c r="F23" i="40"/>
  <c r="G23" i="40" s="1"/>
  <c r="F27" i="40"/>
  <c r="G27" i="40" s="1"/>
  <c r="F9" i="40"/>
  <c r="G9" i="40" s="1"/>
  <c r="F44" i="40"/>
  <c r="G44" i="40" s="1"/>
  <c r="F53" i="40"/>
  <c r="G53" i="40" s="1"/>
  <c r="F52" i="40"/>
  <c r="G52" i="40" s="1"/>
  <c r="F37" i="40"/>
  <c r="G37" i="40" s="1"/>
  <c r="G55" i="14"/>
  <c r="F43" i="40"/>
  <c r="G43" i="40" s="1"/>
  <c r="F32" i="40"/>
  <c r="G32" i="40" s="1"/>
  <c r="F26" i="40"/>
  <c r="G26" i="40" s="1"/>
  <c r="F31" i="40"/>
  <c r="G31" i="40" s="1"/>
  <c r="F42" i="40"/>
  <c r="G42" i="40" s="1"/>
  <c r="O107" i="11"/>
  <c r="O109" i="11" s="1"/>
  <c r="F38" i="40"/>
  <c r="G38" i="40" s="1"/>
  <c r="F28" i="40"/>
  <c r="G28" i="40" s="1"/>
  <c r="F22" i="40"/>
  <c r="G22" i="40" s="1"/>
  <c r="F49" i="40"/>
  <c r="G49" i="40" s="1"/>
  <c r="F12" i="40"/>
  <c r="G12" i="40" s="1"/>
  <c r="F46" i="40"/>
  <c r="G46" i="40" s="1"/>
  <c r="F25" i="40"/>
  <c r="G25" i="40" s="1"/>
  <c r="F39" i="40"/>
  <c r="G39" i="40" s="1"/>
  <c r="F51" i="40"/>
  <c r="G51" i="40" s="1"/>
  <c r="F17" i="40"/>
  <c r="G17" i="40" s="1"/>
  <c r="F34" i="40"/>
  <c r="G34" i="40" s="1"/>
  <c r="F29" i="40"/>
  <c r="G29" i="40" s="1"/>
  <c r="F40" i="40"/>
  <c r="G40" i="40" s="1"/>
  <c r="F33" i="40"/>
  <c r="G33" i="40" s="1"/>
  <c r="F20" i="40"/>
  <c r="G20" i="40" s="1"/>
  <c r="F13" i="40"/>
  <c r="G13" i="40" s="1"/>
  <c r="F10" i="40"/>
  <c r="G10" i="40" s="1"/>
  <c r="F5" i="40"/>
  <c r="G5" i="40" s="1"/>
  <c r="F7" i="40"/>
  <c r="G7" i="40" s="1"/>
  <c r="F50" i="40"/>
  <c r="G50" i="40" s="1"/>
  <c r="F35" i="40"/>
  <c r="G35" i="40" s="1"/>
  <c r="F6" i="40"/>
  <c r="G6" i="40" s="1"/>
  <c r="F16" i="40"/>
  <c r="G16" i="40" s="1"/>
  <c r="F19" i="40"/>
  <c r="G19" i="40" s="1"/>
  <c r="F30" i="40"/>
  <c r="G30" i="40" s="1"/>
  <c r="F18" i="40"/>
  <c r="G18" i="40" s="1"/>
  <c r="F36" i="40"/>
  <c r="G36" i="40" s="1"/>
  <c r="F24" i="40"/>
  <c r="G24" i="40" s="1"/>
  <c r="F11" i="40"/>
  <c r="G11" i="40" s="1"/>
  <c r="F8" i="40"/>
  <c r="G8" i="40" s="1"/>
  <c r="F48" i="40"/>
  <c r="G48" i="40" s="1"/>
  <c r="F3" i="39"/>
  <c r="G3" i="39" s="1"/>
  <c r="G56" i="64"/>
  <c r="H5" i="64"/>
  <c r="Z7" i="11" s="1"/>
  <c r="Z107" i="11" s="1"/>
  <c r="Z109" i="11" s="1"/>
  <c r="Y107" i="11"/>
  <c r="Y109" i="11" s="1"/>
  <c r="G56" i="63"/>
  <c r="X107" i="11"/>
  <c r="X109" i="11" s="1"/>
  <c r="G56" i="62"/>
  <c r="H56" i="62"/>
  <c r="H55" i="62"/>
  <c r="AQ34" i="7" s="1"/>
  <c r="W107" i="11"/>
  <c r="W109" i="11" s="1"/>
  <c r="G56" i="61"/>
  <c r="H55" i="58"/>
  <c r="AQ24" i="7" s="1"/>
  <c r="Q107" i="11"/>
  <c r="Q109" i="11" s="1"/>
  <c r="G56" i="58"/>
  <c r="H56" i="58"/>
  <c r="P107" i="11"/>
  <c r="P110" i="11" s="1"/>
  <c r="H56" i="57"/>
  <c r="H55" i="57"/>
  <c r="AQ23" i="7" s="1"/>
  <c r="G56" i="57"/>
  <c r="G56" i="54"/>
  <c r="N107" i="11"/>
  <c r="N109" i="11" s="1"/>
  <c r="G56" i="53"/>
  <c r="H56" i="53"/>
  <c r="H55" i="53"/>
  <c r="AQ21" i="7" s="1"/>
  <c r="M107" i="11"/>
  <c r="M109" i="11" s="1"/>
  <c r="H56" i="52"/>
  <c r="H55" i="52"/>
  <c r="AQ20" i="7" s="1"/>
  <c r="G56" i="52"/>
  <c r="G56" i="59"/>
  <c r="U107" i="11"/>
  <c r="U109" i="11" s="1"/>
  <c r="G56" i="10"/>
  <c r="D49" i="28"/>
  <c r="E49" i="28" s="1"/>
  <c r="D16" i="28"/>
  <c r="E16" i="28" s="1"/>
  <c r="D48" i="28"/>
  <c r="E48" i="28" s="1"/>
  <c r="D45" i="28"/>
  <c r="E45" i="28" s="1"/>
  <c r="D6" i="28"/>
  <c r="E6" i="28" s="1"/>
  <c r="D38" i="28"/>
  <c r="E38" i="28" s="1"/>
  <c r="D7" i="28"/>
  <c r="E7" i="28" s="1"/>
  <c r="D20" i="28"/>
  <c r="E20" i="28" s="1"/>
  <c r="D52" i="28"/>
  <c r="E52" i="28" s="1"/>
  <c r="D53" i="28"/>
  <c r="E53" i="28" s="1"/>
  <c r="D10" i="28"/>
  <c r="E10" i="28" s="1"/>
  <c r="D42" i="28"/>
  <c r="E42" i="28" s="1"/>
  <c r="D47" i="28"/>
  <c r="E47" i="28" s="1"/>
  <c r="D23" i="28"/>
  <c r="E23" i="28" s="1"/>
  <c r="D24" i="28"/>
  <c r="E24" i="28" s="1"/>
  <c r="D5" i="28"/>
  <c r="E5" i="28" s="1"/>
  <c r="D11" i="28"/>
  <c r="E11" i="28" s="1"/>
  <c r="D14" i="28"/>
  <c r="E14" i="28" s="1"/>
  <c r="D46" i="28"/>
  <c r="E46" i="28" s="1"/>
  <c r="D35" i="28"/>
  <c r="E35" i="28" s="1"/>
  <c r="D28" i="28"/>
  <c r="E28" i="28" s="1"/>
  <c r="D13" i="28"/>
  <c r="E13" i="28" s="1"/>
  <c r="D19" i="28"/>
  <c r="E19" i="28" s="1"/>
  <c r="D18" i="28"/>
  <c r="E18" i="28" s="1"/>
  <c r="D50" i="28"/>
  <c r="E50" i="28" s="1"/>
  <c r="D9" i="28"/>
  <c r="E9" i="28" s="1"/>
  <c r="D32" i="28"/>
  <c r="E32" i="28" s="1"/>
  <c r="D21" i="28"/>
  <c r="E21" i="28" s="1"/>
  <c r="D27" i="28"/>
  <c r="E27" i="28" s="1"/>
  <c r="D22" i="28"/>
  <c r="E22" i="28" s="1"/>
  <c r="D17" i="28"/>
  <c r="E17" i="28" s="1"/>
  <c r="D4" i="28"/>
  <c r="D36" i="28"/>
  <c r="E36" i="28" s="1"/>
  <c r="D25" i="28"/>
  <c r="E25" i="28" s="1"/>
  <c r="D39" i="28"/>
  <c r="E39" i="28" s="1"/>
  <c r="D26" i="28"/>
  <c r="E26" i="28" s="1"/>
  <c r="D15" i="28"/>
  <c r="E15" i="28" s="1"/>
  <c r="D29" i="28"/>
  <c r="E29" i="28" s="1"/>
  <c r="D8" i="28"/>
  <c r="E8" i="28" s="1"/>
  <c r="D40" i="28"/>
  <c r="E40" i="28" s="1"/>
  <c r="D33" i="28"/>
  <c r="E33" i="28" s="1"/>
  <c r="D51" i="28"/>
  <c r="E51" i="28" s="1"/>
  <c r="D30" i="28"/>
  <c r="E30" i="28" s="1"/>
  <c r="D31" i="28"/>
  <c r="E31" i="28" s="1"/>
  <c r="D41" i="28"/>
  <c r="E41" i="28" s="1"/>
  <c r="D12" i="28"/>
  <c r="E12" i="28" s="1"/>
  <c r="D44" i="28"/>
  <c r="E44" i="28" s="1"/>
  <c r="D37" i="28"/>
  <c r="E37" i="28" s="1"/>
  <c r="D3" i="28"/>
  <c r="E3" i="28" s="1"/>
  <c r="F3" i="28" s="1"/>
  <c r="D34" i="28"/>
  <c r="E34" i="28" s="1"/>
  <c r="D43" i="28"/>
  <c r="E43" i="28" s="1"/>
  <c r="E107" i="11"/>
  <c r="E109" i="11" s="1"/>
  <c r="G56" i="45"/>
  <c r="G107" i="11"/>
  <c r="G109" i="11" s="1"/>
  <c r="H56" i="47"/>
  <c r="H55" i="47"/>
  <c r="AQ11" i="7" s="1"/>
  <c r="G56" i="47"/>
  <c r="G56" i="46"/>
  <c r="H5" i="46"/>
  <c r="F7" i="11" s="1"/>
  <c r="F107" i="11" s="1"/>
  <c r="F109" i="11" s="1"/>
  <c r="G56" i="48"/>
  <c r="H107" i="11"/>
  <c r="H109" i="11" s="1"/>
  <c r="H55" i="45"/>
  <c r="H56" i="45"/>
  <c r="H55" i="59"/>
  <c r="H56" i="59"/>
  <c r="H55" i="61"/>
  <c r="H56" i="61"/>
  <c r="H55" i="48"/>
  <c r="H56" i="48"/>
  <c r="H55" i="51"/>
  <c r="H56" i="51"/>
  <c r="H55" i="54"/>
  <c r="H56" i="54"/>
  <c r="H55" i="63"/>
  <c r="H56" i="63"/>
  <c r="H55" i="60"/>
  <c r="H56" i="60"/>
  <c r="AS18" i="7"/>
  <c r="AJ30" i="7"/>
  <c r="AK30" i="7" s="1"/>
  <c r="AT30" i="7"/>
  <c r="H55" i="10"/>
  <c r="H56" i="10"/>
  <c r="X110" i="11" l="1"/>
  <c r="G60" i="68"/>
  <c r="V110" i="11"/>
  <c r="Q110" i="11"/>
  <c r="G55" i="62"/>
  <c r="G55" i="57"/>
  <c r="G55" i="58"/>
  <c r="U110" i="11"/>
  <c r="L110" i="11"/>
  <c r="N110" i="11"/>
  <c r="G55" i="52"/>
  <c r="M110" i="11"/>
  <c r="G55" i="53"/>
  <c r="H10" i="40"/>
  <c r="AB12" i="11" s="1"/>
  <c r="H38" i="40"/>
  <c r="AB40" i="11" s="1"/>
  <c r="H37" i="40"/>
  <c r="AB39" i="11" s="1"/>
  <c r="H16" i="38"/>
  <c r="S18" i="11" s="1"/>
  <c r="H18" i="38"/>
  <c r="S20" i="11" s="1"/>
  <c r="H27" i="38"/>
  <c r="S29" i="11" s="1"/>
  <c r="H42" i="38"/>
  <c r="S44" i="11" s="1"/>
  <c r="H6" i="38"/>
  <c r="H19" i="40"/>
  <c r="AB21" i="11" s="1"/>
  <c r="H13" i="40"/>
  <c r="AB15" i="11" s="1"/>
  <c r="H39" i="40"/>
  <c r="AB41" i="11" s="1"/>
  <c r="H52" i="40"/>
  <c r="AB54" i="11" s="1"/>
  <c r="H15" i="40"/>
  <c r="AB17" i="11" s="1"/>
  <c r="H26" i="38"/>
  <c r="S28" i="11" s="1"/>
  <c r="H48" i="38"/>
  <c r="S50" i="11" s="1"/>
  <c r="H28" i="38"/>
  <c r="S30" i="11" s="1"/>
  <c r="H49" i="38"/>
  <c r="S51" i="11" s="1"/>
  <c r="H14" i="38"/>
  <c r="S16" i="11" s="1"/>
  <c r="H17" i="38"/>
  <c r="S19" i="11" s="1"/>
  <c r="H48" i="40"/>
  <c r="AB50" i="11" s="1"/>
  <c r="H16" i="40"/>
  <c r="AB18" i="11" s="1"/>
  <c r="H20" i="40"/>
  <c r="AB22" i="11" s="1"/>
  <c r="H25" i="40"/>
  <c r="AB27" i="11" s="1"/>
  <c r="H42" i="40"/>
  <c r="AB44" i="11" s="1"/>
  <c r="H53" i="40"/>
  <c r="AB55" i="11" s="1"/>
  <c r="H46" i="38"/>
  <c r="S48" i="11" s="1"/>
  <c r="H5" i="38"/>
  <c r="S7" i="11" s="1"/>
  <c r="H51" i="38"/>
  <c r="S53" i="11" s="1"/>
  <c r="H12" i="38"/>
  <c r="S14" i="11" s="1"/>
  <c r="H23" i="38"/>
  <c r="S25" i="11" s="1"/>
  <c r="H36" i="38"/>
  <c r="S38" i="11" s="1"/>
  <c r="H30" i="40"/>
  <c r="AB32" i="11" s="1"/>
  <c r="H51" i="40"/>
  <c r="AB53" i="11" s="1"/>
  <c r="H41" i="40"/>
  <c r="AB43" i="11" s="1"/>
  <c r="H13" i="38"/>
  <c r="S15" i="11" s="1"/>
  <c r="H8" i="40"/>
  <c r="AB10" i="11" s="1"/>
  <c r="H6" i="40"/>
  <c r="AB8" i="11" s="1"/>
  <c r="H33" i="40"/>
  <c r="AB35" i="11" s="1"/>
  <c r="H46" i="40"/>
  <c r="AB48" i="11" s="1"/>
  <c r="H31" i="40"/>
  <c r="AB33" i="11" s="1"/>
  <c r="H44" i="40"/>
  <c r="AB46" i="11" s="1"/>
  <c r="H14" i="40"/>
  <c r="AB16" i="11" s="1"/>
  <c r="H31" i="38"/>
  <c r="S33" i="11" s="1"/>
  <c r="H41" i="38"/>
  <c r="S43" i="11" s="1"/>
  <c r="H35" i="38"/>
  <c r="S37" i="11" s="1"/>
  <c r="H10" i="38"/>
  <c r="S12" i="11" s="1"/>
  <c r="H40" i="38"/>
  <c r="S42" i="11" s="1"/>
  <c r="H25" i="38"/>
  <c r="S27" i="11" s="1"/>
  <c r="H9" i="38"/>
  <c r="S11" i="11" s="1"/>
  <c r="H19" i="38"/>
  <c r="S21" i="11" s="1"/>
  <c r="H44" i="38"/>
  <c r="S46" i="11" s="1"/>
  <c r="H7" i="38"/>
  <c r="S9" i="11" s="1"/>
  <c r="H24" i="38"/>
  <c r="S26" i="11" s="1"/>
  <c r="H24" i="40"/>
  <c r="AB26" i="11" s="1"/>
  <c r="H50" i="40"/>
  <c r="AB52" i="11" s="1"/>
  <c r="H29" i="40"/>
  <c r="AB31" i="11" s="1"/>
  <c r="H49" i="40"/>
  <c r="AB51" i="11" s="1"/>
  <c r="H32" i="40"/>
  <c r="AB34" i="11" s="1"/>
  <c r="H47" i="40"/>
  <c r="AB49" i="11" s="1"/>
  <c r="H52" i="38"/>
  <c r="S54" i="11" s="1"/>
  <c r="H47" i="38"/>
  <c r="S49" i="11" s="1"/>
  <c r="H21" i="38"/>
  <c r="S23" i="11" s="1"/>
  <c r="H30" i="38"/>
  <c r="S32" i="11" s="1"/>
  <c r="H8" i="38"/>
  <c r="S10" i="11" s="1"/>
  <c r="H37" i="38"/>
  <c r="S39" i="11" s="1"/>
  <c r="H20" i="38"/>
  <c r="S22" i="11" s="1"/>
  <c r="H36" i="40"/>
  <c r="AB38" i="11" s="1"/>
  <c r="H7" i="40"/>
  <c r="AB9" i="11" s="1"/>
  <c r="H34" i="40"/>
  <c r="AB36" i="11" s="1"/>
  <c r="H22" i="40"/>
  <c r="AB24" i="11" s="1"/>
  <c r="H43" i="40"/>
  <c r="AB45" i="11" s="1"/>
  <c r="H23" i="40"/>
  <c r="AB25" i="11" s="1"/>
  <c r="H45" i="40"/>
  <c r="AB47" i="11" s="1"/>
  <c r="H22" i="38"/>
  <c r="S24" i="11" s="1"/>
  <c r="H15" i="38"/>
  <c r="S17" i="11" s="1"/>
  <c r="H32" i="38"/>
  <c r="S34" i="11" s="1"/>
  <c r="H38" i="38"/>
  <c r="S40" i="11" s="1"/>
  <c r="H50" i="38"/>
  <c r="S52" i="11" s="1"/>
  <c r="H11" i="38"/>
  <c r="S13" i="11" s="1"/>
  <c r="H11" i="40"/>
  <c r="AB13" i="11" s="1"/>
  <c r="H35" i="40"/>
  <c r="AB37" i="11" s="1"/>
  <c r="H40" i="40"/>
  <c r="AB42" i="11" s="1"/>
  <c r="H12" i="40"/>
  <c r="AB14" i="11" s="1"/>
  <c r="H26" i="40"/>
  <c r="AB28" i="11" s="1"/>
  <c r="H9" i="40"/>
  <c r="AB11" i="11" s="1"/>
  <c r="H39" i="38"/>
  <c r="S41" i="11" s="1"/>
  <c r="H27" i="40"/>
  <c r="AB29" i="11" s="1"/>
  <c r="H18" i="40"/>
  <c r="AB20" i="11" s="1"/>
  <c r="H5" i="40"/>
  <c r="H17" i="40"/>
  <c r="AB19" i="11" s="1"/>
  <c r="H28" i="40"/>
  <c r="AB30" i="11" s="1"/>
  <c r="H21" i="40"/>
  <c r="AB23" i="11" s="1"/>
  <c r="H33" i="38"/>
  <c r="S35" i="11" s="1"/>
  <c r="H45" i="38"/>
  <c r="S47" i="11" s="1"/>
  <c r="H43" i="38"/>
  <c r="S45" i="11" s="1"/>
  <c r="H29" i="38"/>
  <c r="S31" i="11" s="1"/>
  <c r="H34" i="38"/>
  <c r="S36" i="11" s="1"/>
  <c r="H53" i="38"/>
  <c r="S55" i="11" s="1"/>
  <c r="Y110" i="11"/>
  <c r="W110" i="11"/>
  <c r="AD109" i="11"/>
  <c r="AD110" i="11"/>
  <c r="AQ54" i="7"/>
  <c r="O110" i="11"/>
  <c r="Z110" i="11"/>
  <c r="F29" i="39"/>
  <c r="G29" i="39" s="1"/>
  <c r="G56" i="38"/>
  <c r="G55" i="38"/>
  <c r="F41" i="39"/>
  <c r="G41" i="39" s="1"/>
  <c r="F50" i="39"/>
  <c r="G50" i="39" s="1"/>
  <c r="F49" i="39"/>
  <c r="G49" i="39" s="1"/>
  <c r="F17" i="39"/>
  <c r="G17" i="39" s="1"/>
  <c r="F22" i="39"/>
  <c r="G22" i="39" s="1"/>
  <c r="F18" i="39"/>
  <c r="G18" i="39" s="1"/>
  <c r="P109" i="11"/>
  <c r="G55" i="40"/>
  <c r="F33" i="39"/>
  <c r="G33" i="39" s="1"/>
  <c r="F28" i="39"/>
  <c r="G28" i="39" s="1"/>
  <c r="F43" i="39"/>
  <c r="G43" i="39" s="1"/>
  <c r="H56" i="64"/>
  <c r="F46" i="39"/>
  <c r="G46" i="39" s="1"/>
  <c r="H55" i="64"/>
  <c r="AQ36" i="7" s="1"/>
  <c r="F14" i="39"/>
  <c r="G14" i="39" s="1"/>
  <c r="F38" i="39"/>
  <c r="G38" i="39" s="1"/>
  <c r="F37" i="39"/>
  <c r="G37" i="39" s="1"/>
  <c r="F7" i="39"/>
  <c r="G7" i="39" s="1"/>
  <c r="F32" i="39"/>
  <c r="G32" i="39" s="1"/>
  <c r="F39" i="39"/>
  <c r="G39" i="39" s="1"/>
  <c r="F5" i="39"/>
  <c r="G5" i="39" s="1"/>
  <c r="F16" i="39"/>
  <c r="G16" i="39" s="1"/>
  <c r="F12" i="39"/>
  <c r="G12" i="39" s="1"/>
  <c r="F30" i="39"/>
  <c r="G30" i="39" s="1"/>
  <c r="F53" i="39"/>
  <c r="G53" i="39" s="1"/>
  <c r="F21" i="39"/>
  <c r="G21" i="39" s="1"/>
  <c r="F47" i="39"/>
  <c r="G47" i="39" s="1"/>
  <c r="F24" i="39"/>
  <c r="G24" i="39" s="1"/>
  <c r="F13" i="39"/>
  <c r="G13" i="39" s="1"/>
  <c r="F20" i="39"/>
  <c r="G20" i="39" s="1"/>
  <c r="F26" i="39"/>
  <c r="G26" i="39" s="1"/>
  <c r="F8" i="39"/>
  <c r="G8" i="39" s="1"/>
  <c r="F15" i="39"/>
  <c r="G15" i="39" s="1"/>
  <c r="F36" i="39"/>
  <c r="G36" i="39" s="1"/>
  <c r="F52" i="39"/>
  <c r="G52" i="39" s="1"/>
  <c r="F6" i="39"/>
  <c r="G6" i="39" s="1"/>
  <c r="F10" i="39"/>
  <c r="G10" i="39" s="1"/>
  <c r="F25" i="39"/>
  <c r="G25" i="39" s="1"/>
  <c r="F11" i="39"/>
  <c r="G11" i="39" s="1"/>
  <c r="F34" i="39"/>
  <c r="G34" i="39" s="1"/>
  <c r="F27" i="39"/>
  <c r="G27" i="39" s="1"/>
  <c r="F44" i="39"/>
  <c r="G44" i="39" s="1"/>
  <c r="F42" i="39"/>
  <c r="G42" i="39" s="1"/>
  <c r="F45" i="39"/>
  <c r="G45" i="39" s="1"/>
  <c r="F48" i="39"/>
  <c r="G48" i="39" s="1"/>
  <c r="F35" i="39"/>
  <c r="G35" i="39" s="1"/>
  <c r="F31" i="39"/>
  <c r="G31" i="39" s="1"/>
  <c r="F40" i="39"/>
  <c r="G40" i="39" s="1"/>
  <c r="F19" i="39"/>
  <c r="G19" i="39" s="1"/>
  <c r="F51" i="39"/>
  <c r="G51" i="39" s="1"/>
  <c r="F23" i="39"/>
  <c r="G23" i="39" s="1"/>
  <c r="F9" i="39"/>
  <c r="G9" i="39" s="1"/>
  <c r="G3" i="28"/>
  <c r="F31" i="28"/>
  <c r="G31" i="28" s="1"/>
  <c r="H31" i="28" s="1"/>
  <c r="F26" i="28"/>
  <c r="G26" i="28" s="1"/>
  <c r="H26" i="28" s="1"/>
  <c r="F27" i="28"/>
  <c r="G27" i="28" s="1"/>
  <c r="H27" i="28" s="1"/>
  <c r="F28" i="28"/>
  <c r="G28" i="28" s="1"/>
  <c r="H28" i="28" s="1"/>
  <c r="F47" i="28"/>
  <c r="G47" i="28" s="1"/>
  <c r="H47" i="28" s="1"/>
  <c r="F6" i="28"/>
  <c r="G6" i="28" s="1"/>
  <c r="H6" i="28" s="1"/>
  <c r="G56" i="40"/>
  <c r="F9" i="28"/>
  <c r="G9" i="28" s="1"/>
  <c r="H9" i="28" s="1"/>
  <c r="F14" i="28"/>
  <c r="G14" i="28" s="1"/>
  <c r="H14" i="28" s="1"/>
  <c r="F53" i="28"/>
  <c r="G53" i="28" s="1"/>
  <c r="H53" i="28" s="1"/>
  <c r="F13" i="28"/>
  <c r="G13" i="28" s="1"/>
  <c r="H13" i="28" s="1"/>
  <c r="F34" i="28"/>
  <c r="G34" i="28" s="1"/>
  <c r="H34" i="28" s="1"/>
  <c r="F46" i="28"/>
  <c r="G46" i="28" s="1"/>
  <c r="H46" i="28" s="1"/>
  <c r="F23" i="28"/>
  <c r="G23" i="28" s="1"/>
  <c r="H23" i="28" s="1"/>
  <c r="F19" i="28"/>
  <c r="G19" i="28" s="1"/>
  <c r="H19" i="28" s="1"/>
  <c r="F33" i="28"/>
  <c r="G33" i="28" s="1"/>
  <c r="H33" i="28" s="1"/>
  <c r="F36" i="28"/>
  <c r="G36" i="28" s="1"/>
  <c r="H36" i="28" s="1"/>
  <c r="F16" i="28"/>
  <c r="G16" i="28" s="1"/>
  <c r="H16" i="28" s="1"/>
  <c r="F11" i="28"/>
  <c r="G11" i="28" s="1"/>
  <c r="H11" i="28" s="1"/>
  <c r="F52" i="28"/>
  <c r="G52" i="28" s="1"/>
  <c r="H52" i="28" s="1"/>
  <c r="F41" i="28"/>
  <c r="G41" i="28" s="1"/>
  <c r="H41" i="28" s="1"/>
  <c r="F15" i="28"/>
  <c r="G15" i="28" s="1"/>
  <c r="H15" i="28" s="1"/>
  <c r="F22" i="28"/>
  <c r="G22" i="28" s="1"/>
  <c r="H22" i="28" s="1"/>
  <c r="F38" i="28"/>
  <c r="G38" i="28" s="1"/>
  <c r="H38" i="28" s="1"/>
  <c r="F29" i="28"/>
  <c r="G29" i="28" s="1"/>
  <c r="H29" i="28" s="1"/>
  <c r="F49" i="28"/>
  <c r="G49" i="28" s="1"/>
  <c r="H49" i="28" s="1"/>
  <c r="F24" i="28"/>
  <c r="G24" i="28" s="1"/>
  <c r="H24" i="28" s="1"/>
  <c r="F43" i="28"/>
  <c r="G43" i="28" s="1"/>
  <c r="H43" i="28" s="1"/>
  <c r="F30" i="28"/>
  <c r="G30" i="28" s="1"/>
  <c r="H30" i="28" s="1"/>
  <c r="F39" i="28"/>
  <c r="G39" i="28" s="1"/>
  <c r="H39" i="28" s="1"/>
  <c r="F21" i="28"/>
  <c r="G21" i="28" s="1"/>
  <c r="H21" i="28" s="1"/>
  <c r="F35" i="28"/>
  <c r="G35" i="28" s="1"/>
  <c r="H35" i="28" s="1"/>
  <c r="F42" i="28"/>
  <c r="G42" i="28" s="1"/>
  <c r="H42" i="28" s="1"/>
  <c r="F45" i="28"/>
  <c r="G45" i="28" s="1"/>
  <c r="H45" i="28" s="1"/>
  <c r="F51" i="28"/>
  <c r="G51" i="28" s="1"/>
  <c r="H51" i="28" s="1"/>
  <c r="F25" i="28"/>
  <c r="G25" i="28" s="1"/>
  <c r="H25" i="28" s="1"/>
  <c r="F32" i="28"/>
  <c r="G32" i="28" s="1"/>
  <c r="H32" i="28" s="1"/>
  <c r="F10" i="28"/>
  <c r="G10" i="28" s="1"/>
  <c r="H10" i="28" s="1"/>
  <c r="F48" i="28"/>
  <c r="G48" i="28" s="1"/>
  <c r="H48" i="28" s="1"/>
  <c r="F37" i="28"/>
  <c r="G37" i="28" s="1"/>
  <c r="H37" i="28" s="1"/>
  <c r="F40" i="28"/>
  <c r="G40" i="28" s="1"/>
  <c r="H40" i="28" s="1"/>
  <c r="F50" i="28"/>
  <c r="G50" i="28" s="1"/>
  <c r="H50" i="28" s="1"/>
  <c r="F8" i="28"/>
  <c r="G8" i="28" s="1"/>
  <c r="H8" i="28" s="1"/>
  <c r="E110" i="11"/>
  <c r="F44" i="28"/>
  <c r="G44" i="28" s="1"/>
  <c r="H44" i="28" s="1"/>
  <c r="F17" i="28"/>
  <c r="G17" i="28" s="1"/>
  <c r="H17" i="28" s="1"/>
  <c r="F18" i="28"/>
  <c r="G18" i="28" s="1"/>
  <c r="H18" i="28" s="1"/>
  <c r="F5" i="28"/>
  <c r="G5" i="28" s="1"/>
  <c r="H5" i="28" s="1"/>
  <c r="F20" i="28"/>
  <c r="G20" i="28" s="1"/>
  <c r="H20" i="28" s="1"/>
  <c r="F12" i="28"/>
  <c r="G12" i="28" s="1"/>
  <c r="H12" i="28" s="1"/>
  <c r="F7" i="28"/>
  <c r="G7" i="28" s="1"/>
  <c r="H7" i="28" s="1"/>
  <c r="G110" i="11"/>
  <c r="G55" i="47"/>
  <c r="H56" i="46"/>
  <c r="H55" i="46"/>
  <c r="AQ10" i="7" s="1"/>
  <c r="F110" i="11"/>
  <c r="H110" i="11"/>
  <c r="G55" i="59"/>
  <c r="AQ31" i="7"/>
  <c r="AJ34" i="7"/>
  <c r="AK34" i="7" s="1"/>
  <c r="AS34" i="7"/>
  <c r="AT34" i="7"/>
  <c r="G55" i="63"/>
  <c r="AQ35" i="7"/>
  <c r="G55" i="61"/>
  <c r="AQ33" i="7"/>
  <c r="G55" i="60"/>
  <c r="AQ32" i="7"/>
  <c r="AJ24" i="7"/>
  <c r="AK24" i="7" s="1"/>
  <c r="AS24" i="7"/>
  <c r="AT24" i="7"/>
  <c r="AJ21" i="7"/>
  <c r="AK21" i="7" s="1"/>
  <c r="AT21" i="7"/>
  <c r="AS21" i="7"/>
  <c r="G55" i="54"/>
  <c r="AQ22" i="7"/>
  <c r="AJ23" i="7"/>
  <c r="AK23" i="7" s="1"/>
  <c r="AT23" i="7"/>
  <c r="AS23" i="7"/>
  <c r="G55" i="51"/>
  <c r="AQ19" i="7"/>
  <c r="AJ20" i="7"/>
  <c r="AK20" i="7" s="1"/>
  <c r="AS20" i="7"/>
  <c r="AT20" i="7"/>
  <c r="G55" i="10"/>
  <c r="AQ6" i="7"/>
  <c r="G55" i="48"/>
  <c r="AQ12" i="7"/>
  <c r="G55" i="45"/>
  <c r="AQ9" i="7"/>
  <c r="AJ11" i="7"/>
  <c r="AK11" i="7" s="1"/>
  <c r="AT11" i="7"/>
  <c r="AS11" i="7"/>
  <c r="B107" i="11"/>
  <c r="H55" i="40" l="1"/>
  <c r="J20" i="40" s="1"/>
  <c r="J24" i="40" s="1"/>
  <c r="H56" i="38"/>
  <c r="J22" i="38" s="1"/>
  <c r="H40" i="39"/>
  <c r="AA42" i="11" s="1"/>
  <c r="H15" i="39"/>
  <c r="AA17" i="11" s="1"/>
  <c r="H7" i="39"/>
  <c r="AA9" i="11" s="1"/>
  <c r="H29" i="39"/>
  <c r="AA31" i="11" s="1"/>
  <c r="H34" i="39"/>
  <c r="AA36" i="11" s="1"/>
  <c r="H53" i="39"/>
  <c r="AA55" i="11" s="1"/>
  <c r="H33" i="39"/>
  <c r="AA35" i="11" s="1"/>
  <c r="H41" i="39"/>
  <c r="AA43" i="11" s="1"/>
  <c r="S8" i="11"/>
  <c r="S107" i="11" s="1"/>
  <c r="H35" i="39"/>
  <c r="AA37" i="11" s="1"/>
  <c r="H11" i="39"/>
  <c r="AA13" i="11" s="1"/>
  <c r="H26" i="39"/>
  <c r="AA28" i="11" s="1"/>
  <c r="H30" i="39"/>
  <c r="AA32" i="11" s="1"/>
  <c r="H38" i="39"/>
  <c r="AA40" i="11" s="1"/>
  <c r="H55" i="38"/>
  <c r="J20" i="38" s="1"/>
  <c r="J24" i="38" s="1"/>
  <c r="H9" i="39"/>
  <c r="AA11" i="11" s="1"/>
  <c r="H10" i="39"/>
  <c r="AA12" i="11" s="1"/>
  <c r="H16" i="39"/>
  <c r="AA18" i="11" s="1"/>
  <c r="H27" i="39"/>
  <c r="AA29" i="11" s="1"/>
  <c r="H21" i="39"/>
  <c r="AA23" i="11" s="1"/>
  <c r="H28" i="39"/>
  <c r="AA30" i="11" s="1"/>
  <c r="H50" i="39"/>
  <c r="AA52" i="11" s="1"/>
  <c r="H31" i="39"/>
  <c r="AA33" i="11" s="1"/>
  <c r="H8" i="39"/>
  <c r="AA10" i="11" s="1"/>
  <c r="H37" i="39"/>
  <c r="AA39" i="11" s="1"/>
  <c r="H48" i="39"/>
  <c r="AA50" i="11" s="1"/>
  <c r="H25" i="39"/>
  <c r="AA27" i="11" s="1"/>
  <c r="H20" i="39"/>
  <c r="AA22" i="11" s="1"/>
  <c r="H12" i="39"/>
  <c r="AA14" i="11" s="1"/>
  <c r="H14" i="39"/>
  <c r="AA16" i="11" s="1"/>
  <c r="H45" i="39"/>
  <c r="AA47" i="11" s="1"/>
  <c r="H13" i="39"/>
  <c r="AA15" i="11" s="1"/>
  <c r="H18" i="39"/>
  <c r="AA20" i="11" s="1"/>
  <c r="H42" i="39"/>
  <c r="AA44" i="11" s="1"/>
  <c r="H24" i="39"/>
  <c r="AA26" i="11" s="1"/>
  <c r="H46" i="39"/>
  <c r="AA48" i="11" s="1"/>
  <c r="H22" i="39"/>
  <c r="AA24" i="11" s="1"/>
  <c r="H56" i="40"/>
  <c r="J22" i="40" s="1"/>
  <c r="H51" i="39"/>
  <c r="AA53" i="11" s="1"/>
  <c r="H52" i="39"/>
  <c r="AA54" i="11" s="1"/>
  <c r="H39" i="39"/>
  <c r="AA41" i="11" s="1"/>
  <c r="H17" i="39"/>
  <c r="AA19" i="11" s="1"/>
  <c r="H23" i="39"/>
  <c r="AA25" i="11" s="1"/>
  <c r="H6" i="39"/>
  <c r="H5" i="39"/>
  <c r="AA7" i="11" s="1"/>
  <c r="AB7" i="11"/>
  <c r="AB107" i="11" s="1"/>
  <c r="H19" i="39"/>
  <c r="AA21" i="11" s="1"/>
  <c r="H44" i="39"/>
  <c r="AA46" i="11" s="1"/>
  <c r="H36" i="39"/>
  <c r="AA38" i="11" s="1"/>
  <c r="H47" i="39"/>
  <c r="AA49" i="11" s="1"/>
  <c r="H32" i="39"/>
  <c r="AA34" i="11" s="1"/>
  <c r="H43" i="39"/>
  <c r="AA45" i="11" s="1"/>
  <c r="H49" i="39"/>
  <c r="AA51" i="11" s="1"/>
  <c r="I37" i="11"/>
  <c r="I14" i="11"/>
  <c r="I52" i="11"/>
  <c r="I47" i="11"/>
  <c r="I51" i="11"/>
  <c r="I18" i="11"/>
  <c r="I55" i="11"/>
  <c r="I22" i="11"/>
  <c r="I42" i="11"/>
  <c r="I44" i="11"/>
  <c r="I31" i="11"/>
  <c r="I38" i="11"/>
  <c r="I16" i="11"/>
  <c r="I8" i="11"/>
  <c r="I35" i="11"/>
  <c r="I49" i="11"/>
  <c r="I12" i="11"/>
  <c r="I41" i="11"/>
  <c r="I25" i="11"/>
  <c r="I34" i="11"/>
  <c r="I43" i="11"/>
  <c r="I28" i="11"/>
  <c r="I39" i="11"/>
  <c r="I20" i="11"/>
  <c r="I23" i="11"/>
  <c r="I21" i="11"/>
  <c r="I19" i="11"/>
  <c r="I17" i="11"/>
  <c r="I29" i="11"/>
  <c r="I27" i="11"/>
  <c r="I45" i="11"/>
  <c r="I54" i="11"/>
  <c r="I36" i="11"/>
  <c r="I33" i="11"/>
  <c r="I40" i="11"/>
  <c r="I11" i="11"/>
  <c r="I50" i="11"/>
  <c r="I24" i="11"/>
  <c r="I30" i="11"/>
  <c r="I46" i="11"/>
  <c r="I32" i="11"/>
  <c r="I48" i="11"/>
  <c r="I9" i="11"/>
  <c r="I10" i="11"/>
  <c r="I53" i="11"/>
  <c r="I26" i="11"/>
  <c r="I13" i="11"/>
  <c r="I15" i="11"/>
  <c r="AS54" i="7"/>
  <c r="AT54" i="7"/>
  <c r="AJ54" i="7"/>
  <c r="AK54" i="7" s="1"/>
  <c r="G55" i="64"/>
  <c r="G56" i="39"/>
  <c r="G55" i="39"/>
  <c r="G56" i="28"/>
  <c r="G55" i="28"/>
  <c r="G55" i="46"/>
  <c r="AJ32" i="7"/>
  <c r="AK32" i="7" s="1"/>
  <c r="AS32" i="7"/>
  <c r="AT32" i="7"/>
  <c r="AJ31" i="7"/>
  <c r="AK31" i="7" s="1"/>
  <c r="AT31" i="7"/>
  <c r="AS31" i="7"/>
  <c r="AJ33" i="7"/>
  <c r="AK33" i="7" s="1"/>
  <c r="AT33" i="7"/>
  <c r="AS33" i="7"/>
  <c r="AJ36" i="7"/>
  <c r="AK36" i="7" s="1"/>
  <c r="AT36" i="7"/>
  <c r="AS36" i="7"/>
  <c r="AJ35" i="7"/>
  <c r="AK35" i="7" s="1"/>
  <c r="AT35" i="7"/>
  <c r="AS35" i="7"/>
  <c r="AJ22" i="7"/>
  <c r="AK22" i="7" s="1"/>
  <c r="AT22" i="7"/>
  <c r="AS22" i="7"/>
  <c r="AJ19" i="7"/>
  <c r="AK19" i="7" s="1"/>
  <c r="AT19" i="7"/>
  <c r="AS19" i="7"/>
  <c r="AJ12" i="7"/>
  <c r="AK12" i="7" s="1"/>
  <c r="AT12" i="7"/>
  <c r="AS12" i="7"/>
  <c r="AJ10" i="7"/>
  <c r="AK10" i="7" s="1"/>
  <c r="AS10" i="7"/>
  <c r="AT10" i="7"/>
  <c r="AJ9" i="7"/>
  <c r="AK9" i="7" s="1"/>
  <c r="AS9" i="7"/>
  <c r="AT9" i="7"/>
  <c r="AT6" i="7"/>
  <c r="B110" i="11"/>
  <c r="B109" i="11"/>
  <c r="AQ38" i="7" l="1"/>
  <c r="AS38" i="7" s="1"/>
  <c r="S109" i="11"/>
  <c r="S110" i="11"/>
  <c r="AB109" i="11"/>
  <c r="AB110" i="11"/>
  <c r="AQ26" i="7"/>
  <c r="H55" i="39"/>
  <c r="AQ37" i="7" s="1"/>
  <c r="H56" i="39"/>
  <c r="J22" i="39" s="1"/>
  <c r="AA8" i="11"/>
  <c r="AA107" i="11" s="1"/>
  <c r="AA109" i="11" s="1"/>
  <c r="H56" i="28"/>
  <c r="J22" i="28" s="1"/>
  <c r="I7" i="11"/>
  <c r="I107" i="11" s="1"/>
  <c r="I109" i="11" s="1"/>
  <c r="H55" i="28"/>
  <c r="J20" i="28" s="1"/>
  <c r="J24" i="28" s="1"/>
  <c r="AS6" i="7"/>
  <c r="AJ6" i="7"/>
  <c r="AK6" i="7" s="1"/>
  <c r="AT38" i="7" l="1"/>
  <c r="AJ38" i="7"/>
  <c r="AK38" i="7" s="1"/>
  <c r="AS26" i="7"/>
  <c r="AT26" i="7"/>
  <c r="AJ26" i="7"/>
  <c r="AK26" i="7" s="1"/>
  <c r="J20" i="39"/>
  <c r="J24" i="39" s="1"/>
  <c r="AA110" i="11"/>
  <c r="AQ13" i="7"/>
  <c r="AS13" i="7" s="1"/>
  <c r="I110" i="11"/>
  <c r="AJ37" i="7"/>
  <c r="AK37" i="7" s="1"/>
  <c r="AT37" i="7"/>
  <c r="AS37" i="7"/>
  <c r="AJ13" i="7" l="1"/>
  <c r="AT13" i="7"/>
  <c r="AK13" i="7" l="1"/>
  <c r="AR7" i="7"/>
  <c r="H4" i="43" l="1"/>
  <c r="C6" i="11" s="1"/>
  <c r="AZ7" i="7"/>
  <c r="BA7" i="7" s="1"/>
  <c r="C1" i="43" s="1"/>
  <c r="F1" i="43" s="1"/>
  <c r="BB7" i="7" s="1"/>
  <c r="AR8" i="7"/>
  <c r="C108" i="11" l="1"/>
  <c r="C3" i="43"/>
  <c r="E2" i="43" s="1"/>
  <c r="C7" i="43"/>
  <c r="C15" i="43"/>
  <c r="C23" i="43"/>
  <c r="C31" i="43"/>
  <c r="C39" i="43"/>
  <c r="C47" i="43"/>
  <c r="C8" i="43"/>
  <c r="C16" i="43"/>
  <c r="C24" i="43"/>
  <c r="C32" i="43"/>
  <c r="C40" i="43"/>
  <c r="C48" i="43"/>
  <c r="C9" i="43"/>
  <c r="C17" i="43"/>
  <c r="C25" i="43"/>
  <c r="C33" i="43"/>
  <c r="C41" i="43"/>
  <c r="C49" i="43"/>
  <c r="C10" i="43"/>
  <c r="C18" i="43"/>
  <c r="C26" i="43"/>
  <c r="C34" i="43"/>
  <c r="C42" i="43"/>
  <c r="C50" i="43"/>
  <c r="C11" i="43"/>
  <c r="C27" i="43"/>
  <c r="C43" i="43"/>
  <c r="C12" i="43"/>
  <c r="C28" i="43"/>
  <c r="C44" i="43"/>
  <c r="C22" i="43"/>
  <c r="C13" i="43"/>
  <c r="C29" i="43"/>
  <c r="C45" i="43"/>
  <c r="C14" i="43"/>
  <c r="C30" i="43"/>
  <c r="C46" i="43"/>
  <c r="C19" i="43"/>
  <c r="C35" i="43"/>
  <c r="C51" i="43"/>
  <c r="C4" i="43"/>
  <c r="D2" i="43" s="1"/>
  <c r="C20" i="43"/>
  <c r="C36" i="43"/>
  <c r="C52" i="43"/>
  <c r="C5" i="43"/>
  <c r="C21" i="43"/>
  <c r="C37" i="43"/>
  <c r="C53" i="43"/>
  <c r="C6" i="43"/>
  <c r="C38" i="43"/>
  <c r="H4" i="44"/>
  <c r="D6" i="11" s="1"/>
  <c r="D108" i="11" s="1"/>
  <c r="AZ8" i="7"/>
  <c r="BA8" i="7" s="1"/>
  <c r="C1" i="44" s="1"/>
  <c r="F1" i="44" s="1"/>
  <c r="BB8" i="7" s="1"/>
  <c r="H1" i="43"/>
  <c r="C3" i="44" l="1"/>
  <c r="E2" i="44" s="1"/>
  <c r="C5" i="44"/>
  <c r="C13" i="44"/>
  <c r="C21" i="44"/>
  <c r="C29" i="44"/>
  <c r="C37" i="44"/>
  <c r="C45" i="44"/>
  <c r="C53" i="44"/>
  <c r="C6" i="44"/>
  <c r="C14" i="44"/>
  <c r="C22" i="44"/>
  <c r="C30" i="44"/>
  <c r="C38" i="44"/>
  <c r="C46" i="44"/>
  <c r="C7" i="44"/>
  <c r="C15" i="44"/>
  <c r="C23" i="44"/>
  <c r="C31" i="44"/>
  <c r="C39" i="44"/>
  <c r="C47" i="44"/>
  <c r="C8" i="44"/>
  <c r="C16" i="44"/>
  <c r="C24" i="44"/>
  <c r="C32" i="44"/>
  <c r="C40" i="44"/>
  <c r="C48" i="44"/>
  <c r="C9" i="44"/>
  <c r="C25" i="44"/>
  <c r="C41" i="44"/>
  <c r="C4" i="44"/>
  <c r="D2" i="44" s="1"/>
  <c r="C10" i="44"/>
  <c r="C26" i="44"/>
  <c r="C42" i="44"/>
  <c r="C11" i="44"/>
  <c r="C27" i="44"/>
  <c r="C43" i="44"/>
  <c r="C12" i="44"/>
  <c r="C28" i="44"/>
  <c r="C44" i="44"/>
  <c r="C17" i="44"/>
  <c r="C33" i="44"/>
  <c r="C49" i="44"/>
  <c r="C18" i="44"/>
  <c r="C34" i="44"/>
  <c r="C50" i="44"/>
  <c r="C19" i="44"/>
  <c r="C35" i="44"/>
  <c r="C51" i="44"/>
  <c r="C20" i="44"/>
  <c r="C36" i="44"/>
  <c r="C52" i="44"/>
  <c r="D3" i="43"/>
  <c r="E3" i="43" s="1"/>
  <c r="D13" i="43"/>
  <c r="E13" i="43" s="1"/>
  <c r="D21" i="43"/>
  <c r="E21" i="43" s="1"/>
  <c r="D33" i="43"/>
  <c r="E33" i="43" s="1"/>
  <c r="D41" i="43"/>
  <c r="E41" i="43" s="1"/>
  <c r="D53" i="43"/>
  <c r="E53" i="43" s="1"/>
  <c r="D6" i="43"/>
  <c r="E6" i="43" s="1"/>
  <c r="D18" i="43"/>
  <c r="E18" i="43" s="1"/>
  <c r="D22" i="43"/>
  <c r="E22" i="43" s="1"/>
  <c r="D26" i="43"/>
  <c r="E26" i="43" s="1"/>
  <c r="D34" i="43"/>
  <c r="E34" i="43" s="1"/>
  <c r="D46" i="43"/>
  <c r="E46" i="43" s="1"/>
  <c r="D15" i="43"/>
  <c r="E15" i="43" s="1"/>
  <c r="D43" i="43"/>
  <c r="E43" i="43" s="1"/>
  <c r="D4" i="43"/>
  <c r="D8" i="43"/>
  <c r="E8" i="43" s="1"/>
  <c r="D12" i="43"/>
  <c r="E12" i="43" s="1"/>
  <c r="D16" i="43"/>
  <c r="E16" i="43" s="1"/>
  <c r="D20" i="43"/>
  <c r="E20" i="43" s="1"/>
  <c r="D24" i="43"/>
  <c r="E24" i="43" s="1"/>
  <c r="D28" i="43"/>
  <c r="E28" i="43" s="1"/>
  <c r="D32" i="43"/>
  <c r="E32" i="43" s="1"/>
  <c r="D36" i="43"/>
  <c r="E36" i="43" s="1"/>
  <c r="D40" i="43"/>
  <c r="E40" i="43" s="1"/>
  <c r="D44" i="43"/>
  <c r="E44" i="43" s="1"/>
  <c r="D48" i="43"/>
  <c r="E48" i="43" s="1"/>
  <c r="D52" i="43"/>
  <c r="E52" i="43" s="1"/>
  <c r="D9" i="43"/>
  <c r="E9" i="43" s="1"/>
  <c r="D17" i="43"/>
  <c r="E17" i="43" s="1"/>
  <c r="D25" i="43"/>
  <c r="E25" i="43" s="1"/>
  <c r="D37" i="43"/>
  <c r="E37" i="43" s="1"/>
  <c r="D49" i="43"/>
  <c r="E49" i="43" s="1"/>
  <c r="D14" i="43"/>
  <c r="E14" i="43" s="1"/>
  <c r="D38" i="43"/>
  <c r="E38" i="43" s="1"/>
  <c r="D11" i="43"/>
  <c r="E11" i="43" s="1"/>
  <c r="D27" i="43"/>
  <c r="E27" i="43" s="1"/>
  <c r="D35" i="43"/>
  <c r="E35" i="43" s="1"/>
  <c r="D47" i="43"/>
  <c r="E47" i="43" s="1"/>
  <c r="D5" i="43"/>
  <c r="E5" i="43" s="1"/>
  <c r="D29" i="43"/>
  <c r="E29" i="43" s="1"/>
  <c r="D45" i="43"/>
  <c r="E45" i="43" s="1"/>
  <c r="D10" i="43"/>
  <c r="E10" i="43" s="1"/>
  <c r="D30" i="43"/>
  <c r="E30" i="43" s="1"/>
  <c r="D42" i="43"/>
  <c r="E42" i="43" s="1"/>
  <c r="D50" i="43"/>
  <c r="E50" i="43" s="1"/>
  <c r="D7" i="43"/>
  <c r="E7" i="43" s="1"/>
  <c r="D19" i="43"/>
  <c r="E19" i="43" s="1"/>
  <c r="D23" i="43"/>
  <c r="E23" i="43" s="1"/>
  <c r="D31" i="43"/>
  <c r="E31" i="43" s="1"/>
  <c r="D39" i="43"/>
  <c r="E39" i="43" s="1"/>
  <c r="D51" i="43"/>
  <c r="E51" i="43" s="1"/>
  <c r="H1" i="44"/>
  <c r="D3" i="44" l="1"/>
  <c r="E3" i="44" s="1"/>
  <c r="D4" i="44"/>
  <c r="D8" i="44"/>
  <c r="E8" i="44" s="1"/>
  <c r="D12" i="44"/>
  <c r="E12" i="44" s="1"/>
  <c r="D16" i="44"/>
  <c r="E16" i="44" s="1"/>
  <c r="D20" i="44"/>
  <c r="E20" i="44" s="1"/>
  <c r="D24" i="44"/>
  <c r="E24" i="44" s="1"/>
  <c r="D28" i="44"/>
  <c r="E28" i="44" s="1"/>
  <c r="D32" i="44"/>
  <c r="E32" i="44" s="1"/>
  <c r="D36" i="44"/>
  <c r="E36" i="44" s="1"/>
  <c r="D40" i="44"/>
  <c r="E40" i="44" s="1"/>
  <c r="D44" i="44"/>
  <c r="E44" i="44" s="1"/>
  <c r="D48" i="44"/>
  <c r="E48" i="44" s="1"/>
  <c r="D52" i="44"/>
  <c r="E52" i="44" s="1"/>
  <c r="D5" i="44"/>
  <c r="E5" i="44" s="1"/>
  <c r="D9" i="44"/>
  <c r="E9" i="44" s="1"/>
  <c r="D13" i="44"/>
  <c r="E13" i="44" s="1"/>
  <c r="D17" i="44"/>
  <c r="E17" i="44" s="1"/>
  <c r="D21" i="44"/>
  <c r="E21" i="44" s="1"/>
  <c r="D25" i="44"/>
  <c r="E25" i="44" s="1"/>
  <c r="D29" i="44"/>
  <c r="E29" i="44" s="1"/>
  <c r="D33" i="44"/>
  <c r="E33" i="44" s="1"/>
  <c r="D37" i="44"/>
  <c r="E37" i="44" s="1"/>
  <c r="D41" i="44"/>
  <c r="E41" i="44" s="1"/>
  <c r="D45" i="44"/>
  <c r="E45" i="44" s="1"/>
  <c r="D49" i="44"/>
  <c r="E49" i="44" s="1"/>
  <c r="D53" i="44"/>
  <c r="E53" i="44" s="1"/>
  <c r="D6" i="44"/>
  <c r="E6" i="44" s="1"/>
  <c r="D10" i="44"/>
  <c r="E10" i="44" s="1"/>
  <c r="D14" i="44"/>
  <c r="E14" i="44" s="1"/>
  <c r="D18" i="44"/>
  <c r="E18" i="44" s="1"/>
  <c r="D22" i="44"/>
  <c r="E22" i="44" s="1"/>
  <c r="D26" i="44"/>
  <c r="E26" i="44" s="1"/>
  <c r="D30" i="44"/>
  <c r="E30" i="44" s="1"/>
  <c r="D34" i="44"/>
  <c r="E34" i="44" s="1"/>
  <c r="D38" i="44"/>
  <c r="E38" i="44" s="1"/>
  <c r="D42" i="44"/>
  <c r="E42" i="44" s="1"/>
  <c r="D46" i="44"/>
  <c r="E46" i="44" s="1"/>
  <c r="D50" i="44"/>
  <c r="E50" i="44" s="1"/>
  <c r="D7" i="44"/>
  <c r="E7" i="44" s="1"/>
  <c r="D15" i="44"/>
  <c r="E15" i="44" s="1"/>
  <c r="D27" i="44"/>
  <c r="E27" i="44" s="1"/>
  <c r="D35" i="44"/>
  <c r="E35" i="44" s="1"/>
  <c r="D47" i="44"/>
  <c r="E47" i="44" s="1"/>
  <c r="D11" i="44"/>
  <c r="E11" i="44" s="1"/>
  <c r="D19" i="44"/>
  <c r="E19" i="44" s="1"/>
  <c r="D23" i="44"/>
  <c r="E23" i="44" s="1"/>
  <c r="D31" i="44"/>
  <c r="E31" i="44" s="1"/>
  <c r="D39" i="44"/>
  <c r="E39" i="44" s="1"/>
  <c r="D43" i="44"/>
  <c r="E43" i="44" s="1"/>
  <c r="D51" i="44"/>
  <c r="E51" i="44" s="1"/>
  <c r="F3" i="43"/>
  <c r="G3" i="43" s="1"/>
  <c r="F13" i="43" l="1"/>
  <c r="G13" i="43" s="1"/>
  <c r="H13" i="43" s="1"/>
  <c r="C15" i="11" s="1"/>
  <c r="F8" i="43"/>
  <c r="G8" i="43" s="1"/>
  <c r="H8" i="43" s="1"/>
  <c r="C10" i="11" s="1"/>
  <c r="F5" i="43"/>
  <c r="G5" i="43" s="1"/>
  <c r="H5" i="43" s="1"/>
  <c r="C7" i="11" s="1"/>
  <c r="F25" i="43"/>
  <c r="G25" i="43" s="1"/>
  <c r="H25" i="43" s="1"/>
  <c r="C27" i="11" s="1"/>
  <c r="F11" i="43"/>
  <c r="G11" i="43" s="1"/>
  <c r="H11" i="43" s="1"/>
  <c r="C13" i="11" s="1"/>
  <c r="F34" i="43"/>
  <c r="G34" i="43" s="1"/>
  <c r="H34" i="43" s="1"/>
  <c r="C36" i="11" s="1"/>
  <c r="F18" i="43"/>
  <c r="G18" i="43" s="1"/>
  <c r="H18" i="43" s="1"/>
  <c r="C20" i="11" s="1"/>
  <c r="F10" i="43"/>
  <c r="G10" i="43" s="1"/>
  <c r="H10" i="43" s="1"/>
  <c r="C12" i="11" s="1"/>
  <c r="F30" i="43"/>
  <c r="G30" i="43" s="1"/>
  <c r="H30" i="43" s="1"/>
  <c r="C32" i="11" s="1"/>
  <c r="F16" i="43"/>
  <c r="G16" i="43" s="1"/>
  <c r="H16" i="43" s="1"/>
  <c r="C18" i="11" s="1"/>
  <c r="F41" i="43"/>
  <c r="G41" i="43" s="1"/>
  <c r="H41" i="43" s="1"/>
  <c r="C43" i="11" s="1"/>
  <c r="F42" i="43"/>
  <c r="G42" i="43" s="1"/>
  <c r="H42" i="43" s="1"/>
  <c r="C44" i="11" s="1"/>
  <c r="F43" i="43"/>
  <c r="G43" i="43" s="1"/>
  <c r="H43" i="43" s="1"/>
  <c r="C45" i="11" s="1"/>
  <c r="F48" i="43"/>
  <c r="G48" i="43" s="1"/>
  <c r="H48" i="43" s="1"/>
  <c r="C50" i="11" s="1"/>
  <c r="F44" i="43"/>
  <c r="G44" i="43" s="1"/>
  <c r="H44" i="43" s="1"/>
  <c r="C46" i="11" s="1"/>
  <c r="F28" i="43"/>
  <c r="G28" i="43" s="1"/>
  <c r="H28" i="43" s="1"/>
  <c r="C30" i="11" s="1"/>
  <c r="F23" i="43"/>
  <c r="G23" i="43" s="1"/>
  <c r="H23" i="43" s="1"/>
  <c r="C25" i="11" s="1"/>
  <c r="F6" i="43"/>
  <c r="G6" i="43" s="1"/>
  <c r="H6" i="43" s="1"/>
  <c r="C8" i="11" s="1"/>
  <c r="F51" i="43"/>
  <c r="G51" i="43" s="1"/>
  <c r="H51" i="43" s="1"/>
  <c r="C53" i="11" s="1"/>
  <c r="F38" i="43"/>
  <c r="G38" i="43" s="1"/>
  <c r="H38" i="43" s="1"/>
  <c r="C40" i="11" s="1"/>
  <c r="F22" i="43"/>
  <c r="G22" i="43" s="1"/>
  <c r="H22" i="43" s="1"/>
  <c r="C24" i="11" s="1"/>
  <c r="F21" i="43"/>
  <c r="G21" i="43" s="1"/>
  <c r="H21" i="43" s="1"/>
  <c r="C23" i="11" s="1"/>
  <c r="F40" i="43"/>
  <c r="G40" i="43" s="1"/>
  <c r="H40" i="43" s="1"/>
  <c r="C42" i="11" s="1"/>
  <c r="F35" i="43"/>
  <c r="G35" i="43" s="1"/>
  <c r="H35" i="43" s="1"/>
  <c r="C37" i="11" s="1"/>
  <c r="F46" i="43"/>
  <c r="G46" i="43" s="1"/>
  <c r="H46" i="43" s="1"/>
  <c r="C48" i="11" s="1"/>
  <c r="F36" i="43"/>
  <c r="G36" i="43" s="1"/>
  <c r="H36" i="43" s="1"/>
  <c r="C38" i="11" s="1"/>
  <c r="F14" i="43"/>
  <c r="G14" i="43" s="1"/>
  <c r="H14" i="43" s="1"/>
  <c r="C16" i="11" s="1"/>
  <c r="F33" i="43"/>
  <c r="G33" i="43" s="1"/>
  <c r="H33" i="43" s="1"/>
  <c r="C35" i="11" s="1"/>
  <c r="F15" i="43"/>
  <c r="G15" i="43" s="1"/>
  <c r="H15" i="43" s="1"/>
  <c r="C17" i="11" s="1"/>
  <c r="F7" i="43"/>
  <c r="G7" i="43" s="1"/>
  <c r="H7" i="43" s="1"/>
  <c r="C9" i="11" s="1"/>
  <c r="F29" i="43"/>
  <c r="G29" i="43" s="1"/>
  <c r="H29" i="43" s="1"/>
  <c r="C31" i="11" s="1"/>
  <c r="F20" i="43"/>
  <c r="G20" i="43" s="1"/>
  <c r="H20" i="43" s="1"/>
  <c r="C22" i="11" s="1"/>
  <c r="F24" i="43"/>
  <c r="G24" i="43" s="1"/>
  <c r="H24" i="43" s="1"/>
  <c r="C26" i="11" s="1"/>
  <c r="F26" i="43"/>
  <c r="G26" i="43" s="1"/>
  <c r="H26" i="43" s="1"/>
  <c r="C28" i="11" s="1"/>
  <c r="F39" i="43"/>
  <c r="G39" i="43" s="1"/>
  <c r="H39" i="43" s="1"/>
  <c r="C41" i="11" s="1"/>
  <c r="F50" i="43"/>
  <c r="G50" i="43" s="1"/>
  <c r="H50" i="43" s="1"/>
  <c r="C52" i="11" s="1"/>
  <c r="F19" i="43"/>
  <c r="G19" i="43" s="1"/>
  <c r="H19" i="43" s="1"/>
  <c r="C21" i="11" s="1"/>
  <c r="F45" i="43"/>
  <c r="G45" i="43" s="1"/>
  <c r="H45" i="43" s="1"/>
  <c r="C47" i="11" s="1"/>
  <c r="F31" i="43"/>
  <c r="G31" i="43" s="1"/>
  <c r="H31" i="43" s="1"/>
  <c r="C33" i="11" s="1"/>
  <c r="F52" i="43"/>
  <c r="G52" i="43" s="1"/>
  <c r="H52" i="43" s="1"/>
  <c r="C54" i="11" s="1"/>
  <c r="F53" i="43"/>
  <c r="G53" i="43" s="1"/>
  <c r="H53" i="43" s="1"/>
  <c r="C55" i="11" s="1"/>
  <c r="F49" i="43"/>
  <c r="G49" i="43" s="1"/>
  <c r="H49" i="43" s="1"/>
  <c r="C51" i="11" s="1"/>
  <c r="F32" i="43"/>
  <c r="G32" i="43" s="1"/>
  <c r="H32" i="43" s="1"/>
  <c r="C34" i="11" s="1"/>
  <c r="F37" i="43"/>
  <c r="G37" i="43" s="1"/>
  <c r="H37" i="43" s="1"/>
  <c r="C39" i="11" s="1"/>
  <c r="F17" i="43"/>
  <c r="G17" i="43" s="1"/>
  <c r="H17" i="43" s="1"/>
  <c r="C19" i="11" s="1"/>
  <c r="F47" i="43"/>
  <c r="G47" i="43" s="1"/>
  <c r="H47" i="43" s="1"/>
  <c r="C49" i="11" s="1"/>
  <c r="F27" i="43"/>
  <c r="G27" i="43" s="1"/>
  <c r="H27" i="43" s="1"/>
  <c r="C29" i="11" s="1"/>
  <c r="F9" i="43"/>
  <c r="G9" i="43" s="1"/>
  <c r="H9" i="43" s="1"/>
  <c r="C11" i="11" s="1"/>
  <c r="F12" i="43"/>
  <c r="G12" i="43" s="1"/>
  <c r="H12" i="43" s="1"/>
  <c r="C14" i="11" s="1"/>
  <c r="F3" i="44"/>
  <c r="F38" i="44" s="1"/>
  <c r="G38" i="44" s="1"/>
  <c r="H38" i="44" s="1"/>
  <c r="D40" i="11" s="1"/>
  <c r="H56" i="43" l="1"/>
  <c r="C107" i="11"/>
  <c r="C109" i="11" s="1"/>
  <c r="G56" i="43"/>
  <c r="H55" i="43"/>
  <c r="AQ7" i="7" s="1"/>
  <c r="F24" i="44"/>
  <c r="G24" i="44" s="1"/>
  <c r="H24" i="44" s="1"/>
  <c r="D26" i="11" s="1"/>
  <c r="F14" i="44"/>
  <c r="G14" i="44" s="1"/>
  <c r="H14" i="44" s="1"/>
  <c r="D16" i="11" s="1"/>
  <c r="F51" i="44"/>
  <c r="G51" i="44" s="1"/>
  <c r="H51" i="44" s="1"/>
  <c r="D53" i="11" s="1"/>
  <c r="F25" i="44"/>
  <c r="G25" i="44" s="1"/>
  <c r="H25" i="44" s="1"/>
  <c r="D27" i="11" s="1"/>
  <c r="F19" i="44"/>
  <c r="G19" i="44" s="1"/>
  <c r="H19" i="44" s="1"/>
  <c r="D21" i="11" s="1"/>
  <c r="F8" i="44"/>
  <c r="G8" i="44" s="1"/>
  <c r="H8" i="44" s="1"/>
  <c r="D10" i="11" s="1"/>
  <c r="F36" i="44"/>
  <c r="G36" i="44" s="1"/>
  <c r="H36" i="44" s="1"/>
  <c r="D38" i="11" s="1"/>
  <c r="F50" i="44"/>
  <c r="G50" i="44" s="1"/>
  <c r="H50" i="44" s="1"/>
  <c r="D52" i="11" s="1"/>
  <c r="F52" i="44"/>
  <c r="G52" i="44" s="1"/>
  <c r="H52" i="44" s="1"/>
  <c r="D54" i="11" s="1"/>
  <c r="F18" i="44"/>
  <c r="G18" i="44" s="1"/>
  <c r="H18" i="44" s="1"/>
  <c r="D20" i="11" s="1"/>
  <c r="F30" i="44"/>
  <c r="G30" i="44" s="1"/>
  <c r="H30" i="44" s="1"/>
  <c r="D32" i="11" s="1"/>
  <c r="F12" i="44"/>
  <c r="G12" i="44" s="1"/>
  <c r="H12" i="44" s="1"/>
  <c r="D14" i="11" s="1"/>
  <c r="F31" i="44"/>
  <c r="G31" i="44" s="1"/>
  <c r="H31" i="44" s="1"/>
  <c r="D33" i="11" s="1"/>
  <c r="F28" i="44"/>
  <c r="G28" i="44" s="1"/>
  <c r="H28" i="44" s="1"/>
  <c r="D30" i="11" s="1"/>
  <c r="F39" i="44"/>
  <c r="G39" i="44" s="1"/>
  <c r="H39" i="44" s="1"/>
  <c r="D41" i="11" s="1"/>
  <c r="F46" i="44"/>
  <c r="G46" i="44" s="1"/>
  <c r="H46" i="44" s="1"/>
  <c r="D48" i="11" s="1"/>
  <c r="F22" i="44"/>
  <c r="G22" i="44" s="1"/>
  <c r="H22" i="44" s="1"/>
  <c r="D24" i="11" s="1"/>
  <c r="F27" i="44"/>
  <c r="G27" i="44" s="1"/>
  <c r="H27" i="44" s="1"/>
  <c r="D29" i="11" s="1"/>
  <c r="F43" i="44"/>
  <c r="G43" i="44" s="1"/>
  <c r="H43" i="44" s="1"/>
  <c r="D45" i="11" s="1"/>
  <c r="F7" i="44"/>
  <c r="G7" i="44" s="1"/>
  <c r="H7" i="44" s="1"/>
  <c r="D9" i="11" s="1"/>
  <c r="F21" i="44"/>
  <c r="G21" i="44" s="1"/>
  <c r="H21" i="44" s="1"/>
  <c r="D23" i="11" s="1"/>
  <c r="F34" i="44"/>
  <c r="G34" i="44" s="1"/>
  <c r="H34" i="44" s="1"/>
  <c r="D36" i="11" s="1"/>
  <c r="F40" i="44"/>
  <c r="G40" i="44" s="1"/>
  <c r="H40" i="44" s="1"/>
  <c r="D42" i="11" s="1"/>
  <c r="F11" i="44"/>
  <c r="G11" i="44" s="1"/>
  <c r="H11" i="44" s="1"/>
  <c r="D13" i="11" s="1"/>
  <c r="F41" i="44"/>
  <c r="G41" i="44" s="1"/>
  <c r="H41" i="44" s="1"/>
  <c r="D43" i="11" s="1"/>
  <c r="F26" i="44"/>
  <c r="G26" i="44" s="1"/>
  <c r="H26" i="44" s="1"/>
  <c r="D28" i="11" s="1"/>
  <c r="F23" i="44"/>
  <c r="G23" i="44" s="1"/>
  <c r="H23" i="44" s="1"/>
  <c r="D25" i="11" s="1"/>
  <c r="F53" i="44"/>
  <c r="G53" i="44" s="1"/>
  <c r="H53" i="44" s="1"/>
  <c r="D55" i="11" s="1"/>
  <c r="G3" i="44"/>
  <c r="F42" i="44"/>
  <c r="G42" i="44" s="1"/>
  <c r="H42" i="44" s="1"/>
  <c r="D44" i="11" s="1"/>
  <c r="F33" i="44"/>
  <c r="G33" i="44" s="1"/>
  <c r="H33" i="44" s="1"/>
  <c r="D35" i="11" s="1"/>
  <c r="F13" i="44"/>
  <c r="G13" i="44" s="1"/>
  <c r="H13" i="44" s="1"/>
  <c r="D15" i="11" s="1"/>
  <c r="F37" i="44"/>
  <c r="G37" i="44" s="1"/>
  <c r="H37" i="44" s="1"/>
  <c r="D39" i="11" s="1"/>
  <c r="F15" i="44"/>
  <c r="G15" i="44" s="1"/>
  <c r="H15" i="44" s="1"/>
  <c r="D17" i="11" s="1"/>
  <c r="F5" i="44"/>
  <c r="G5" i="44" s="1"/>
  <c r="H5" i="44" s="1"/>
  <c r="D7" i="11" s="1"/>
  <c r="F47" i="44"/>
  <c r="G47" i="44" s="1"/>
  <c r="H47" i="44" s="1"/>
  <c r="D49" i="11" s="1"/>
  <c r="F48" i="44"/>
  <c r="G48" i="44" s="1"/>
  <c r="H48" i="44" s="1"/>
  <c r="D50" i="11" s="1"/>
  <c r="F9" i="44"/>
  <c r="G9" i="44" s="1"/>
  <c r="H9" i="44" s="1"/>
  <c r="D11" i="11" s="1"/>
  <c r="F35" i="44"/>
  <c r="G35" i="44" s="1"/>
  <c r="H35" i="44" s="1"/>
  <c r="D37" i="11" s="1"/>
  <c r="F20" i="44"/>
  <c r="G20" i="44" s="1"/>
  <c r="H20" i="44" s="1"/>
  <c r="D22" i="11" s="1"/>
  <c r="F32" i="44"/>
  <c r="G32" i="44" s="1"/>
  <c r="H32" i="44" s="1"/>
  <c r="D34" i="11" s="1"/>
  <c r="F29" i="44"/>
  <c r="G29" i="44" s="1"/>
  <c r="H29" i="44" s="1"/>
  <c r="D31" i="11" s="1"/>
  <c r="F17" i="44"/>
  <c r="G17" i="44" s="1"/>
  <c r="H17" i="44" s="1"/>
  <c r="D19" i="11" s="1"/>
  <c r="F45" i="44"/>
  <c r="G45" i="44" s="1"/>
  <c r="H45" i="44" s="1"/>
  <c r="D47" i="11" s="1"/>
  <c r="F6" i="44"/>
  <c r="G6" i="44" s="1"/>
  <c r="H6" i="44" s="1"/>
  <c r="D8" i="11" s="1"/>
  <c r="F44" i="44"/>
  <c r="G44" i="44" s="1"/>
  <c r="H44" i="44" s="1"/>
  <c r="D46" i="11" s="1"/>
  <c r="F49" i="44"/>
  <c r="G49" i="44" s="1"/>
  <c r="H49" i="44" s="1"/>
  <c r="D51" i="11" s="1"/>
  <c r="F10" i="44"/>
  <c r="G10" i="44" s="1"/>
  <c r="H10" i="44" s="1"/>
  <c r="D12" i="11" s="1"/>
  <c r="F16" i="44"/>
  <c r="G16" i="44" s="1"/>
  <c r="H16" i="44" s="1"/>
  <c r="D18" i="11" s="1"/>
  <c r="C110" i="11" l="1"/>
  <c r="G55" i="43"/>
  <c r="D107" i="11"/>
  <c r="D109" i="11" s="1"/>
  <c r="G56" i="44"/>
  <c r="H56" i="44"/>
  <c r="H55" i="44"/>
  <c r="AQ8" i="7" s="1"/>
  <c r="AJ7" i="7"/>
  <c r="AK7" i="7" s="1"/>
  <c r="AS7" i="7"/>
  <c r="AT7" i="7"/>
  <c r="D110" i="11" l="1"/>
  <c r="G55" i="44"/>
  <c r="AJ8" i="7"/>
  <c r="AK8" i="7" s="1"/>
  <c r="AS8" i="7"/>
  <c r="AT8" i="7"/>
  <c r="AE7" i="11" l="1"/>
  <c r="AE8" i="11"/>
  <c r="AE9" i="11" l="1"/>
  <c r="AE10" i="11" l="1"/>
  <c r="AE11" i="11" l="1"/>
  <c r="AE12" i="11" l="1"/>
  <c r="AE13" i="11" l="1"/>
  <c r="AE14" i="11" l="1"/>
  <c r="AE15" i="11" l="1"/>
  <c r="AE16" i="11" l="1"/>
  <c r="AE17" i="11" l="1"/>
  <c r="AE18" i="11" l="1"/>
  <c r="AE19" i="11" l="1"/>
  <c r="AE20" i="11" l="1"/>
  <c r="AE21" i="11" l="1"/>
  <c r="AE22" i="11" l="1"/>
  <c r="AE23" i="11" l="1"/>
  <c r="AE24" i="11" l="1"/>
  <c r="AE25" i="11" l="1"/>
  <c r="AE26" i="11" l="1"/>
  <c r="AE27" i="11" l="1"/>
  <c r="AE28" i="11" l="1"/>
  <c r="AE29" i="11" l="1"/>
  <c r="AE30" i="11" l="1"/>
  <c r="AE31" i="11" l="1"/>
  <c r="AE32" i="11" l="1"/>
  <c r="AE33" i="11" l="1"/>
  <c r="AE34" i="11" l="1"/>
  <c r="AE35" i="11" l="1"/>
  <c r="AE36" i="11" l="1"/>
  <c r="AE37" i="11" l="1"/>
  <c r="AE38" i="11" l="1"/>
  <c r="AE39" i="11" l="1"/>
  <c r="AE40" i="11" l="1"/>
  <c r="AE41" i="11" l="1"/>
  <c r="AE42" i="11" l="1"/>
  <c r="AE43" i="11" l="1"/>
  <c r="AE44" i="11" l="1"/>
  <c r="AE45" i="11" l="1"/>
  <c r="AE46" i="11" l="1"/>
  <c r="AE47" i="11" l="1"/>
  <c r="AE48" i="11" l="1"/>
  <c r="AE49" i="11" l="1"/>
  <c r="AE50" i="11" l="1"/>
  <c r="AE51" i="11" l="1"/>
  <c r="AE52" i="11" l="1"/>
  <c r="AE53" i="11" l="1"/>
  <c r="AE54" i="11" l="1"/>
  <c r="H56" i="26" l="1"/>
  <c r="H55" i="26"/>
  <c r="G55" i="26" s="1"/>
  <c r="AE55" i="11"/>
  <c r="AM56" i="11" l="1"/>
  <c r="AT56" i="11" s="1"/>
  <c r="AX56" i="11" s="1"/>
  <c r="AY56" i="11" s="1"/>
  <c r="AM57" i="11" l="1"/>
  <c r="BB56" i="11"/>
  <c r="AQ56" i="11"/>
  <c r="BG56" i="11"/>
  <c r="AR56" i="11" l="1"/>
  <c r="BH56" i="11"/>
  <c r="AT57" i="11"/>
  <c r="BG57" i="11" s="1"/>
  <c r="BB57" i="11"/>
  <c r="AQ57" i="11"/>
  <c r="AM58" i="11"/>
  <c r="AM59" i="11" l="1"/>
  <c r="AT59" i="11" s="1"/>
  <c r="AX59" i="11" s="1"/>
  <c r="AY59" i="11" s="1"/>
  <c r="AR57" i="11"/>
  <c r="BH57" i="11"/>
  <c r="AX57" i="11"/>
  <c r="AY57" i="11" s="1"/>
  <c r="AT58" i="11"/>
  <c r="BG58" i="11" s="1"/>
  <c r="BB58" i="11"/>
  <c r="AQ58" i="11"/>
  <c r="AQ59" i="11" l="1"/>
  <c r="BG59" i="11"/>
  <c r="BB59" i="11"/>
  <c r="AR58" i="11"/>
  <c r="BH58" i="11"/>
  <c r="AX58" i="11"/>
  <c r="AY58" i="11" s="1"/>
  <c r="AM60" i="11"/>
  <c r="AT60" i="11" s="1"/>
  <c r="BB60" i="11" l="1"/>
  <c r="AQ60" i="11"/>
  <c r="BG60" i="11"/>
  <c r="AM61" i="11"/>
  <c r="AT61" i="11" s="1"/>
  <c r="AR59" i="11"/>
  <c r="BH59" i="11"/>
  <c r="AX60" i="11" l="1"/>
  <c r="AY60" i="11" s="1"/>
  <c r="BG61" i="11"/>
  <c r="BB61" i="11"/>
  <c r="AQ61" i="11"/>
  <c r="AM62" i="11"/>
  <c r="AT62" i="11" s="1"/>
  <c r="AX62" i="11" s="1"/>
  <c r="AY62" i="11" s="1"/>
  <c r="BH60" i="11"/>
  <c r="AR60" i="11"/>
  <c r="AR61" i="11" l="1"/>
  <c r="BH61" i="11"/>
  <c r="AX61" i="11"/>
  <c r="AY61" i="11" s="1"/>
  <c r="AQ62" i="11"/>
  <c r="BB62" i="11"/>
  <c r="BG62" i="11"/>
  <c r="AM63" i="11"/>
  <c r="AT63" i="11" s="1"/>
  <c r="BH62" i="11" l="1"/>
  <c r="AR62" i="11"/>
  <c r="AQ63" i="11"/>
  <c r="BB63" i="11"/>
  <c r="BG63" i="11"/>
  <c r="AM64" i="11"/>
  <c r="AT64" i="11" s="1"/>
  <c r="AQ64" i="11" l="1"/>
  <c r="BB64" i="11"/>
  <c r="BG64" i="11"/>
  <c r="AM65" i="11"/>
  <c r="AT65" i="11" s="1"/>
  <c r="AX65" i="11" s="1"/>
  <c r="AY65" i="11" s="1"/>
  <c r="BH63" i="11"/>
  <c r="AR63" i="11"/>
  <c r="AX63" i="11"/>
  <c r="AY63" i="11" s="1"/>
  <c r="AM66" i="11" l="1"/>
  <c r="AT66" i="11" s="1"/>
  <c r="AX64" i="11"/>
  <c r="AY64" i="11" s="1"/>
  <c r="AQ65" i="11"/>
  <c r="BB65" i="11"/>
  <c r="BG65" i="11"/>
  <c r="AR64" i="11"/>
  <c r="BH64" i="11"/>
  <c r="AR65" i="11" l="1"/>
  <c r="BH65" i="11"/>
  <c r="AM67" i="11"/>
  <c r="AT67" i="11" s="1"/>
  <c r="AQ66" i="11"/>
  <c r="BB66" i="11"/>
  <c r="BG66" i="11"/>
  <c r="AX66" i="11" l="1"/>
  <c r="AY66" i="11" s="1"/>
  <c r="BH66" i="11"/>
  <c r="AR66" i="11"/>
  <c r="AM68" i="11"/>
  <c r="AT68" i="11" s="1"/>
  <c r="AX68" i="11" s="1"/>
  <c r="AY68" i="11" s="1"/>
  <c r="BB67" i="11"/>
  <c r="AQ67" i="11"/>
  <c r="BG67" i="11"/>
  <c r="AM69" i="11" l="1"/>
  <c r="AT69" i="11" s="1"/>
  <c r="AX67" i="11"/>
  <c r="AY67" i="11" s="1"/>
  <c r="AQ68" i="11"/>
  <c r="BG68" i="11"/>
  <c r="BB68" i="11"/>
  <c r="AR67" i="11"/>
  <c r="BH67" i="11"/>
  <c r="AM70" i="11" l="1"/>
  <c r="AT70" i="11" s="1"/>
  <c r="AR68" i="11"/>
  <c r="BH68" i="11"/>
  <c r="BB69" i="11"/>
  <c r="BG69" i="11"/>
  <c r="AQ69" i="11"/>
  <c r="AR69" i="11" l="1"/>
  <c r="BH69" i="11"/>
  <c r="AX69" i="11"/>
  <c r="AY69" i="11" s="1"/>
  <c r="AM71" i="11"/>
  <c r="AT71" i="11" s="1"/>
  <c r="AX71" i="11" s="1"/>
  <c r="AY71" i="11" s="1"/>
  <c r="BB70" i="11"/>
  <c r="AQ70" i="11"/>
  <c r="BG70" i="11"/>
  <c r="BG71" i="11" l="1"/>
  <c r="BB71" i="11"/>
  <c r="AQ71" i="11"/>
  <c r="AM72" i="11"/>
  <c r="AT72" i="11" s="1"/>
  <c r="AX70" i="11"/>
  <c r="AY70" i="11" s="1"/>
  <c r="AR70" i="11"/>
  <c r="BH70" i="11"/>
  <c r="BB72" i="11" l="1"/>
  <c r="AQ72" i="11"/>
  <c r="BG72" i="11"/>
  <c r="AM73" i="11"/>
  <c r="AT73" i="11" s="1"/>
  <c r="BH71" i="11"/>
  <c r="AR71" i="11"/>
  <c r="AR72" i="11" l="1"/>
  <c r="BH72" i="11"/>
  <c r="BB73" i="11"/>
  <c r="BG73" i="11"/>
  <c r="AQ73" i="11"/>
  <c r="AM74" i="11"/>
  <c r="AT74" i="11" s="1"/>
  <c r="AX74" i="11" s="1"/>
  <c r="AY74" i="11" s="1"/>
  <c r="AX72" i="11"/>
  <c r="AY72" i="11" s="1"/>
  <c r="AM75" i="11" l="1"/>
  <c r="AT75" i="11" s="1"/>
  <c r="AX73" i="11"/>
  <c r="AY73" i="11" s="1"/>
  <c r="BG74" i="11"/>
  <c r="BB74" i="11"/>
  <c r="AQ74" i="11"/>
  <c r="AR73" i="11"/>
  <c r="BH73" i="11"/>
  <c r="BB75" i="11" l="1"/>
  <c r="BG75" i="11"/>
  <c r="AQ75" i="11"/>
  <c r="BH74" i="11"/>
  <c r="AR74" i="11"/>
  <c r="AM76" i="11"/>
  <c r="AT76" i="11" s="1"/>
  <c r="BH75" i="11" l="1"/>
  <c r="AR75" i="11"/>
  <c r="AX75" i="11"/>
  <c r="AY75" i="11" s="1"/>
  <c r="BB76" i="11"/>
  <c r="AQ76" i="11"/>
  <c r="BG76" i="11"/>
  <c r="AM77" i="11"/>
  <c r="AT77" i="11" s="1"/>
  <c r="AX77" i="11" s="1"/>
  <c r="AY77" i="11" s="1"/>
  <c r="AR76" i="11" l="1"/>
  <c r="BH76" i="11"/>
  <c r="AM78" i="11"/>
  <c r="AT78" i="11" s="1"/>
  <c r="AQ77" i="11"/>
  <c r="BG77" i="11"/>
  <c r="BB77" i="11"/>
  <c r="AX76" i="11"/>
  <c r="AY76" i="11" s="1"/>
  <c r="BG78" i="11" l="1"/>
  <c r="BB78" i="11"/>
  <c r="AQ78" i="11"/>
  <c r="BH77" i="11"/>
  <c r="AR77" i="11"/>
  <c r="AM79" i="11"/>
  <c r="AT79" i="11" s="1"/>
  <c r="BG79" i="11" l="1"/>
  <c r="BB79" i="11"/>
  <c r="AQ79" i="11"/>
  <c r="BH78" i="11"/>
  <c r="AR78" i="11"/>
  <c r="AM80" i="11"/>
  <c r="AT80" i="11" s="1"/>
  <c r="AX80" i="11" s="1"/>
  <c r="AY80" i="11" s="1"/>
  <c r="AX78" i="11"/>
  <c r="AY78" i="11" s="1"/>
  <c r="AM81" i="11" l="1"/>
  <c r="AT81" i="11" s="1"/>
  <c r="AR79" i="11"/>
  <c r="BH79" i="11"/>
  <c r="AX79" i="11"/>
  <c r="AY79" i="11" s="1"/>
  <c r="BG80" i="11"/>
  <c r="BB80" i="11"/>
  <c r="AQ80" i="11"/>
  <c r="BB81" i="11" l="1"/>
  <c r="BG81" i="11"/>
  <c r="AQ81" i="11"/>
  <c r="BH80" i="11"/>
  <c r="AR80" i="11"/>
  <c r="AM82" i="11"/>
  <c r="AT82" i="11" s="1"/>
  <c r="AQ82" i="11" l="1"/>
  <c r="BB82" i="11"/>
  <c r="BG82" i="11"/>
  <c r="AM83" i="11"/>
  <c r="AT83" i="11" s="1"/>
  <c r="AX83" i="11" s="1"/>
  <c r="AY83" i="11" s="1"/>
  <c r="BH81" i="11"/>
  <c r="AR81" i="11"/>
  <c r="AX81" i="11"/>
  <c r="AY81" i="11" s="1"/>
  <c r="BB83" i="11" l="1"/>
  <c r="BG83" i="11"/>
  <c r="AQ83" i="11"/>
  <c r="BH82" i="11"/>
  <c r="AR82" i="11"/>
  <c r="AM84" i="11"/>
  <c r="AT84" i="11" s="1"/>
  <c r="AX82" i="11"/>
  <c r="AY82" i="11" s="1"/>
  <c r="AQ84" i="11" l="1"/>
  <c r="BB84" i="11"/>
  <c r="BG84" i="11"/>
  <c r="AR83" i="11"/>
  <c r="BH83" i="11"/>
  <c r="AM85" i="11"/>
  <c r="AT85" i="11" s="1"/>
  <c r="AM86" i="11" l="1"/>
  <c r="AT86" i="11" s="1"/>
  <c r="AX86" i="11" s="1"/>
  <c r="AY86" i="11" s="1"/>
  <c r="AX84" i="11"/>
  <c r="AY84" i="11" s="1"/>
  <c r="BG85" i="11"/>
  <c r="BB85" i="11"/>
  <c r="AQ85" i="11"/>
  <c r="AR84" i="11"/>
  <c r="BH84" i="11"/>
  <c r="AR85" i="11" l="1"/>
  <c r="BH85" i="11"/>
  <c r="AX85" i="11"/>
  <c r="AY85" i="11" s="1"/>
  <c r="AM87" i="11"/>
  <c r="AT87" i="11" s="1"/>
  <c r="AQ86" i="11"/>
  <c r="BB86" i="11"/>
  <c r="BG86" i="11"/>
  <c r="BB87" i="11" l="1"/>
  <c r="AQ87" i="11"/>
  <c r="BG87" i="11"/>
  <c r="AM88" i="11"/>
  <c r="AT88" i="11" s="1"/>
  <c r="BH86" i="11"/>
  <c r="AR86" i="11"/>
  <c r="BB88" i="11" l="1"/>
  <c r="AQ88" i="11"/>
  <c r="BG88" i="11"/>
  <c r="AX87" i="11"/>
  <c r="AY87" i="11" s="1"/>
  <c r="BH87" i="11"/>
  <c r="AR87" i="11"/>
  <c r="AM89" i="11"/>
  <c r="AT89" i="11" s="1"/>
  <c r="AX89" i="11" s="1"/>
  <c r="AY89" i="11" s="1"/>
  <c r="AX88" i="11" l="1"/>
  <c r="AY88" i="11" s="1"/>
  <c r="AM90" i="11"/>
  <c r="AT90" i="11" s="1"/>
  <c r="BG89" i="11"/>
  <c r="BB89" i="11"/>
  <c r="AQ89" i="11"/>
  <c r="BH88" i="11"/>
  <c r="AR88" i="11"/>
  <c r="BH89" i="11" l="1"/>
  <c r="AR89" i="11"/>
  <c r="AM91" i="11"/>
  <c r="AT91" i="11" s="1"/>
  <c r="BG90" i="11"/>
  <c r="AQ90" i="11"/>
  <c r="BB90" i="11"/>
  <c r="AR90" i="11" l="1"/>
  <c r="BH90" i="11"/>
  <c r="AX90" i="11"/>
  <c r="AY90" i="11" s="1"/>
  <c r="AQ91" i="11"/>
  <c r="BG91" i="11"/>
  <c r="BB91" i="11"/>
  <c r="AM92" i="11"/>
  <c r="AT92" i="11" s="1"/>
  <c r="AX92" i="11" s="1"/>
  <c r="AY92" i="11" s="1"/>
  <c r="AX91" i="11" l="1"/>
  <c r="AY91" i="11" s="1"/>
  <c r="AR91" i="11"/>
  <c r="BH91" i="11"/>
  <c r="AM93" i="11"/>
  <c r="AT93" i="11" s="1"/>
  <c r="AQ92" i="11"/>
  <c r="BB92" i="11"/>
  <c r="BG92" i="11"/>
  <c r="BG93" i="11" l="1"/>
  <c r="AQ93" i="11"/>
  <c r="BB93" i="11"/>
  <c r="AM94" i="11"/>
  <c r="AT94" i="11" s="1"/>
  <c r="BH92" i="11"/>
  <c r="AR92" i="11"/>
  <c r="AX93" i="11" l="1"/>
  <c r="AY93" i="11" s="1"/>
  <c r="AM95" i="11"/>
  <c r="AT95" i="11" s="1"/>
  <c r="AX95" i="11" s="1"/>
  <c r="AY95" i="11" s="1"/>
  <c r="AR93" i="11"/>
  <c r="BH93" i="11"/>
  <c r="BB94" i="11"/>
  <c r="AQ94" i="11"/>
  <c r="BG94" i="11"/>
  <c r="BH94" i="11" l="1"/>
  <c r="AR94" i="11"/>
  <c r="AQ95" i="11"/>
  <c r="BB95" i="11"/>
  <c r="BG95" i="11"/>
  <c r="AM96" i="11"/>
  <c r="AT96" i="11" s="1"/>
  <c r="AX94" i="11"/>
  <c r="AY94" i="11" s="1"/>
  <c r="AM97" i="11" l="1"/>
  <c r="AT97" i="11" s="1"/>
  <c r="BG96" i="11"/>
  <c r="BB96" i="11"/>
  <c r="AQ96" i="11"/>
  <c r="BH95" i="11"/>
  <c r="AR95" i="11"/>
  <c r="AQ97" i="11" l="1"/>
  <c r="BB97" i="11"/>
  <c r="BG97" i="11"/>
  <c r="AR96" i="11"/>
  <c r="BH96" i="11"/>
  <c r="AX96" i="11"/>
  <c r="AY96" i="11" s="1"/>
  <c r="AM98" i="11"/>
  <c r="AT98" i="11" s="1"/>
  <c r="AX98" i="11" s="1"/>
  <c r="AY98" i="11" s="1"/>
  <c r="AX97" i="11" l="1"/>
  <c r="AY97" i="11" s="1"/>
  <c r="BB98" i="11"/>
  <c r="BG98" i="11"/>
  <c r="AQ98" i="11"/>
  <c r="AR97" i="11"/>
  <c r="BH97" i="11"/>
  <c r="AM99" i="11"/>
  <c r="AT99" i="11" s="1"/>
  <c r="BG99" i="11" l="1"/>
  <c r="BB99" i="11"/>
  <c r="AQ99" i="11"/>
  <c r="BH98" i="11"/>
  <c r="AR98" i="11"/>
  <c r="AM100" i="11"/>
  <c r="AT100" i="11" s="1"/>
  <c r="AX99" i="11" l="1"/>
  <c r="AY99" i="11" s="1"/>
  <c r="AM101" i="11"/>
  <c r="AT101" i="11" s="1"/>
  <c r="AX101" i="11" s="1"/>
  <c r="AY101" i="11" s="1"/>
  <c r="BH99" i="11"/>
  <c r="AR99" i="11"/>
  <c r="BB100" i="11"/>
  <c r="BG100" i="11"/>
  <c r="AQ100" i="11"/>
  <c r="BG101" i="11" l="1"/>
  <c r="BB101" i="11"/>
  <c r="AQ101" i="11"/>
  <c r="AX100" i="11"/>
  <c r="AY100" i="11" s="1"/>
  <c r="AM102" i="11"/>
  <c r="AT102" i="11" s="1"/>
  <c r="BH100" i="11"/>
  <c r="AR100" i="11"/>
  <c r="BB102" i="11" l="1"/>
  <c r="BG102" i="11"/>
  <c r="AQ102" i="11"/>
  <c r="AR101" i="11"/>
  <c r="BH101" i="11"/>
  <c r="AM103" i="11"/>
  <c r="AT103" i="11" s="1"/>
  <c r="AX102" i="11" l="1"/>
  <c r="AY102" i="11" s="1"/>
  <c r="BG103" i="11"/>
  <c r="BB103" i="11"/>
  <c r="AQ103" i="11"/>
  <c r="AM104" i="11"/>
  <c r="AT104" i="11" s="1"/>
  <c r="AX104" i="11" s="1"/>
  <c r="AY104" i="11" s="1"/>
  <c r="BH102" i="11"/>
  <c r="AR102" i="11"/>
  <c r="AR103" i="11" l="1"/>
  <c r="BH103" i="11"/>
  <c r="AX103" i="11"/>
  <c r="AY103" i="11" s="1"/>
  <c r="BB104" i="11"/>
  <c r="AQ104" i="11"/>
  <c r="BG104" i="11"/>
  <c r="AR104" i="11" l="1"/>
  <c r="BH104" i="11"/>
  <c r="AE107" i="11"/>
  <c r="AE110" i="11" s="1"/>
  <c r="AE109" i="11" l="1"/>
  <c r="AQ66" i="7"/>
  <c r="AT66" i="7" s="1"/>
  <c r="AJ66" i="7" l="1"/>
  <c r="AK66" i="7" s="1"/>
  <c r="AS66" i="7"/>
  <c r="AM105" i="11"/>
  <c r="AT105" i="11" s="1"/>
  <c r="BG105" i="11" l="1"/>
  <c r="AQ105" i="11"/>
  <c r="BB105" i="11"/>
  <c r="BH105" i="11" l="1"/>
  <c r="AR105" i="11"/>
  <c r="AX105" i="11"/>
  <c r="AY105" i="11" s="1"/>
  <c r="N3" i="37"/>
  <c r="J11" i="37" s="1"/>
  <c r="J17" i="37" l="1"/>
  <c r="H1" i="37" s="1"/>
  <c r="J12" i="37"/>
  <c r="AP25" i="7" s="1"/>
  <c r="J18" i="37" l="1"/>
  <c r="H4" i="37" s="1"/>
  <c r="AR25" i="7"/>
  <c r="AI25" i="7"/>
  <c r="R5" i="11"/>
  <c r="AZ25" i="7" l="1"/>
  <c r="BA25" i="7" s="1"/>
  <c r="C1" i="37" s="1"/>
  <c r="F1" i="37" s="1"/>
  <c r="R6" i="11"/>
  <c r="R108" i="11" l="1"/>
  <c r="BB25" i="7"/>
  <c r="C52" i="37"/>
  <c r="C51" i="37"/>
  <c r="C49" i="37"/>
  <c r="C7" i="37"/>
  <c r="C24" i="37"/>
  <c r="C8" i="37"/>
  <c r="C27" i="37"/>
  <c r="C5" i="37"/>
  <c r="C34" i="37"/>
  <c r="C40" i="37"/>
  <c r="C15" i="37"/>
  <c r="C39" i="37"/>
  <c r="C16" i="37"/>
  <c r="C4" i="37"/>
  <c r="D2" i="37" s="1"/>
  <c r="C23" i="37"/>
  <c r="C26" i="37"/>
  <c r="C25" i="37"/>
  <c r="C20" i="37"/>
  <c r="C43" i="37"/>
  <c r="C13" i="37"/>
  <c r="C19" i="37"/>
  <c r="C42" i="37"/>
  <c r="C9" i="37"/>
  <c r="C50" i="37"/>
  <c r="C44" i="37"/>
  <c r="C41" i="37"/>
  <c r="C38" i="37"/>
  <c r="C11" i="37"/>
  <c r="C45" i="37"/>
  <c r="C47" i="37"/>
  <c r="C17" i="37"/>
  <c r="C48" i="37"/>
  <c r="C22" i="37"/>
  <c r="C33" i="37"/>
  <c r="C6" i="37"/>
  <c r="C31" i="37"/>
  <c r="C37" i="37"/>
  <c r="C3" i="37"/>
  <c r="E2" i="37" s="1"/>
  <c r="C29" i="37"/>
  <c r="C12" i="37"/>
  <c r="C32" i="37"/>
  <c r="C46" i="37"/>
  <c r="C18" i="37"/>
  <c r="C30" i="37"/>
  <c r="C10" i="37"/>
  <c r="C53" i="37"/>
  <c r="C21" i="37"/>
  <c r="C28" i="37"/>
  <c r="C14" i="37"/>
  <c r="C36" i="37"/>
  <c r="C35" i="37"/>
  <c r="D19" i="37" l="1"/>
  <c r="E19" i="37" s="1"/>
  <c r="D6" i="37"/>
  <c r="E6" i="37" s="1"/>
  <c r="D15" i="37"/>
  <c r="E15" i="37" s="1"/>
  <c r="D4" i="37"/>
  <c r="D46" i="37"/>
  <c r="E46" i="37" s="1"/>
  <c r="D11" i="37"/>
  <c r="E11" i="37" s="1"/>
  <c r="D9" i="37"/>
  <c r="E9" i="37" s="1"/>
  <c r="D39" i="37"/>
  <c r="E39" i="37" s="1"/>
  <c r="D18" i="37"/>
  <c r="E18" i="37" s="1"/>
  <c r="D50" i="37"/>
  <c r="E50" i="37" s="1"/>
  <c r="D28" i="37"/>
  <c r="E28" i="37" s="1"/>
  <c r="D42" i="37"/>
  <c r="E42" i="37" s="1"/>
  <c r="D38" i="37"/>
  <c r="E38" i="37" s="1"/>
  <c r="D40" i="37"/>
  <c r="E40" i="37" s="1"/>
  <c r="D14" i="37"/>
  <c r="E14" i="37" s="1"/>
  <c r="D34" i="37"/>
  <c r="E34" i="37" s="1"/>
  <c r="D21" i="37"/>
  <c r="E21" i="37" s="1"/>
  <c r="D48" i="37"/>
  <c r="E48" i="37" s="1"/>
  <c r="D20" i="37"/>
  <c r="E20" i="37" s="1"/>
  <c r="D13" i="37"/>
  <c r="E13" i="37" s="1"/>
  <c r="D12" i="37"/>
  <c r="E12" i="37" s="1"/>
  <c r="D31" i="37"/>
  <c r="E31" i="37" s="1"/>
  <c r="D22" i="37"/>
  <c r="E22" i="37" s="1"/>
  <c r="D27" i="37"/>
  <c r="E27" i="37" s="1"/>
  <c r="D36" i="37"/>
  <c r="E36" i="37" s="1"/>
  <c r="D47" i="37"/>
  <c r="E47" i="37" s="1"/>
  <c r="D49" i="37"/>
  <c r="E49" i="37" s="1"/>
  <c r="D10" i="37"/>
  <c r="E10" i="37" s="1"/>
  <c r="D25" i="37"/>
  <c r="E25" i="37" s="1"/>
  <c r="D5" i="37"/>
  <c r="E5" i="37" s="1"/>
  <c r="D17" i="37"/>
  <c r="E17" i="37" s="1"/>
  <c r="D8" i="37"/>
  <c r="E8" i="37" s="1"/>
  <c r="D44" i="37"/>
  <c r="E44" i="37" s="1"/>
  <c r="D3" i="37"/>
  <c r="E3" i="37" s="1"/>
  <c r="F3" i="37" s="1"/>
  <c r="D32" i="37"/>
  <c r="E32" i="37" s="1"/>
  <c r="D30" i="37"/>
  <c r="E30" i="37" s="1"/>
  <c r="D41" i="37"/>
  <c r="E41" i="37" s="1"/>
  <c r="D52" i="37"/>
  <c r="E52" i="37" s="1"/>
  <c r="D33" i="37"/>
  <c r="E33" i="37" s="1"/>
  <c r="D26" i="37"/>
  <c r="E26" i="37" s="1"/>
  <c r="D51" i="37"/>
  <c r="E51" i="37" s="1"/>
  <c r="D16" i="37"/>
  <c r="E16" i="37" s="1"/>
  <c r="D24" i="37"/>
  <c r="E24" i="37" s="1"/>
  <c r="D29" i="37"/>
  <c r="E29" i="37" s="1"/>
  <c r="D53" i="37"/>
  <c r="E53" i="37" s="1"/>
  <c r="D35" i="37"/>
  <c r="E35" i="37" s="1"/>
  <c r="D37" i="37"/>
  <c r="E37" i="37" s="1"/>
  <c r="D7" i="37"/>
  <c r="E7" i="37" s="1"/>
  <c r="D45" i="37"/>
  <c r="E45" i="37" s="1"/>
  <c r="D23" i="37"/>
  <c r="E23" i="37" s="1"/>
  <c r="D43" i="37"/>
  <c r="E43" i="37" s="1"/>
  <c r="F23" i="37" l="1"/>
  <c r="G23" i="37" s="1"/>
  <c r="H23" i="37" s="1"/>
  <c r="R25" i="11" s="1"/>
  <c r="F33" i="37"/>
  <c r="G33" i="37" s="1"/>
  <c r="H33" i="37" s="1"/>
  <c r="R35" i="11" s="1"/>
  <c r="F22" i="37"/>
  <c r="G22" i="37" s="1"/>
  <c r="H22" i="37" s="1"/>
  <c r="R24" i="11" s="1"/>
  <c r="F14" i="37"/>
  <c r="G14" i="37" s="1"/>
  <c r="H14" i="37" s="1"/>
  <c r="R16" i="11" s="1"/>
  <c r="F37" i="37"/>
  <c r="G37" i="37" s="1"/>
  <c r="H37" i="37" s="1"/>
  <c r="R39" i="11" s="1"/>
  <c r="F17" i="37"/>
  <c r="G17" i="37" s="1"/>
  <c r="H17" i="37" s="1"/>
  <c r="R19" i="11" s="1"/>
  <c r="F53" i="37"/>
  <c r="G53" i="37" s="1"/>
  <c r="H53" i="37" s="1"/>
  <c r="R55" i="11" s="1"/>
  <c r="F41" i="37"/>
  <c r="G41" i="37" s="1"/>
  <c r="H41" i="37" s="1"/>
  <c r="R43" i="11" s="1"/>
  <c r="F25" i="37"/>
  <c r="G25" i="37" s="1"/>
  <c r="H25" i="37" s="1"/>
  <c r="R27" i="11" s="1"/>
  <c r="F12" i="37"/>
  <c r="G12" i="37" s="1"/>
  <c r="H12" i="37" s="1"/>
  <c r="R14" i="11" s="1"/>
  <c r="F38" i="37"/>
  <c r="G38" i="37" s="1"/>
  <c r="H38" i="37" s="1"/>
  <c r="R40" i="11" s="1"/>
  <c r="F46" i="37"/>
  <c r="G46" i="37" s="1"/>
  <c r="H46" i="37" s="1"/>
  <c r="R48" i="11" s="1"/>
  <c r="F16" i="37"/>
  <c r="G16" i="37" s="1"/>
  <c r="H16" i="37" s="1"/>
  <c r="R18" i="11" s="1"/>
  <c r="F43" i="37"/>
  <c r="G43" i="37" s="1"/>
  <c r="H43" i="37" s="1"/>
  <c r="R45" i="11" s="1"/>
  <c r="F24" i="37"/>
  <c r="G24" i="37" s="1"/>
  <c r="H24" i="37" s="1"/>
  <c r="R26" i="11" s="1"/>
  <c r="F32" i="37"/>
  <c r="G32" i="37" s="1"/>
  <c r="H32" i="37" s="1"/>
  <c r="R34" i="11" s="1"/>
  <c r="F49" i="37"/>
  <c r="G49" i="37" s="1"/>
  <c r="H49" i="37" s="1"/>
  <c r="R51" i="11" s="1"/>
  <c r="F20" i="37"/>
  <c r="G20" i="37" s="1"/>
  <c r="H20" i="37" s="1"/>
  <c r="R22" i="11" s="1"/>
  <c r="F28" i="37"/>
  <c r="G28" i="37" s="1"/>
  <c r="H28" i="37" s="1"/>
  <c r="R30" i="11" s="1"/>
  <c r="F15" i="37"/>
  <c r="G15" i="37" s="1"/>
  <c r="H15" i="37" s="1"/>
  <c r="R17" i="11" s="1"/>
  <c r="F7" i="37"/>
  <c r="G7" i="37" s="1"/>
  <c r="H7" i="37" s="1"/>
  <c r="R9" i="11" s="1"/>
  <c r="F26" i="37"/>
  <c r="G26" i="37" s="1"/>
  <c r="H26" i="37" s="1"/>
  <c r="R28" i="11" s="1"/>
  <c r="F8" i="37"/>
  <c r="G8" i="37" s="1"/>
  <c r="H8" i="37" s="1"/>
  <c r="R10" i="11" s="1"/>
  <c r="G3" i="37"/>
  <c r="F9" i="37"/>
  <c r="G9" i="37" s="1"/>
  <c r="H9" i="37" s="1"/>
  <c r="R11" i="11" s="1"/>
  <c r="F35" i="37"/>
  <c r="G35" i="37" s="1"/>
  <c r="H35" i="37" s="1"/>
  <c r="R37" i="11" s="1"/>
  <c r="F52" i="37"/>
  <c r="G52" i="37" s="1"/>
  <c r="H52" i="37" s="1"/>
  <c r="R54" i="11" s="1"/>
  <c r="F5" i="37"/>
  <c r="G5" i="37" s="1"/>
  <c r="H5" i="37" s="1"/>
  <c r="F31" i="37"/>
  <c r="G31" i="37" s="1"/>
  <c r="H31" i="37" s="1"/>
  <c r="R33" i="11" s="1"/>
  <c r="F40" i="37"/>
  <c r="G40" i="37" s="1"/>
  <c r="H40" i="37" s="1"/>
  <c r="R42" i="11" s="1"/>
  <c r="F11" i="37"/>
  <c r="G11" i="37" s="1"/>
  <c r="H11" i="37" s="1"/>
  <c r="R13" i="11" s="1"/>
  <c r="F29" i="37"/>
  <c r="G29" i="37" s="1"/>
  <c r="H29" i="37" s="1"/>
  <c r="R31" i="11" s="1"/>
  <c r="F30" i="37"/>
  <c r="G30" i="37" s="1"/>
  <c r="H30" i="37" s="1"/>
  <c r="R32" i="11" s="1"/>
  <c r="F10" i="37"/>
  <c r="G10" i="37" s="1"/>
  <c r="H10" i="37" s="1"/>
  <c r="R12" i="11" s="1"/>
  <c r="F13" i="37"/>
  <c r="G13" i="37" s="1"/>
  <c r="H13" i="37" s="1"/>
  <c r="R15" i="11" s="1"/>
  <c r="F42" i="37"/>
  <c r="G42" i="37" s="1"/>
  <c r="H42" i="37" s="1"/>
  <c r="R44" i="11" s="1"/>
  <c r="F47" i="37"/>
  <c r="G47" i="37" s="1"/>
  <c r="H47" i="37" s="1"/>
  <c r="R49" i="11" s="1"/>
  <c r="F48" i="37"/>
  <c r="G48" i="37" s="1"/>
  <c r="H48" i="37" s="1"/>
  <c r="R50" i="11" s="1"/>
  <c r="F50" i="37"/>
  <c r="G50" i="37" s="1"/>
  <c r="H50" i="37" s="1"/>
  <c r="R52" i="11" s="1"/>
  <c r="F6" i="37"/>
  <c r="G6" i="37" s="1"/>
  <c r="H6" i="37" s="1"/>
  <c r="R8" i="11" s="1"/>
  <c r="F45" i="37"/>
  <c r="G45" i="37" s="1"/>
  <c r="H45" i="37" s="1"/>
  <c r="R47" i="11" s="1"/>
  <c r="F51" i="37"/>
  <c r="G51" i="37" s="1"/>
  <c r="H51" i="37" s="1"/>
  <c r="R53" i="11" s="1"/>
  <c r="F44" i="37"/>
  <c r="G44" i="37" s="1"/>
  <c r="H44" i="37" s="1"/>
  <c r="R46" i="11" s="1"/>
  <c r="F36" i="37"/>
  <c r="G36" i="37" s="1"/>
  <c r="H36" i="37" s="1"/>
  <c r="R38" i="11" s="1"/>
  <c r="F21" i="37"/>
  <c r="G21" i="37" s="1"/>
  <c r="H21" i="37" s="1"/>
  <c r="R23" i="11" s="1"/>
  <c r="F18" i="37"/>
  <c r="G18" i="37" s="1"/>
  <c r="H18" i="37" s="1"/>
  <c r="R20" i="11" s="1"/>
  <c r="F19" i="37"/>
  <c r="G19" i="37" s="1"/>
  <c r="H19" i="37" s="1"/>
  <c r="R21" i="11" s="1"/>
  <c r="F27" i="37"/>
  <c r="G27" i="37" s="1"/>
  <c r="H27" i="37" s="1"/>
  <c r="R29" i="11" s="1"/>
  <c r="F34" i="37"/>
  <c r="G34" i="37" s="1"/>
  <c r="H34" i="37" s="1"/>
  <c r="R36" i="11" s="1"/>
  <c r="F39" i="37"/>
  <c r="G39" i="37" s="1"/>
  <c r="H39" i="37" s="1"/>
  <c r="R41" i="11" s="1"/>
  <c r="G55" i="37" l="1"/>
  <c r="H55" i="37"/>
  <c r="R7" i="11"/>
  <c r="H56" i="37"/>
  <c r="J22" i="37" s="1"/>
  <c r="G56" i="37"/>
  <c r="R107" i="11" l="1"/>
  <c r="AQ25" i="7"/>
  <c r="AT25" i="7" s="1"/>
  <c r="J20" i="37"/>
  <c r="J24" i="37" s="1"/>
  <c r="R109" i="11" l="1"/>
  <c r="R110" i="11"/>
  <c r="AS25" i="7"/>
  <c r="AJ25" i="7"/>
  <c r="AK25" i="7" s="1"/>
  <c r="N3" i="27"/>
  <c r="J11" i="27" s="1"/>
  <c r="J17" i="27" l="1"/>
  <c r="H1" i="27" s="1"/>
  <c r="J12" i="27"/>
  <c r="J18" i="27" s="1"/>
  <c r="AP14" i="7" l="1"/>
  <c r="AI14" i="7" s="1"/>
  <c r="H4" i="27"/>
  <c r="AP3" i="7" l="1"/>
  <c r="AR14" i="7"/>
  <c r="AZ14" i="7" s="1"/>
  <c r="BA14" i="7" s="1"/>
  <c r="C1" i="27" s="1"/>
  <c r="F1" i="27" s="1"/>
  <c r="J5" i="11"/>
  <c r="AI3" i="7"/>
  <c r="J6" i="11"/>
  <c r="AR3" i="7" l="1"/>
  <c r="AH5" i="11"/>
  <c r="AH6" i="11" s="1"/>
  <c r="J108" i="11"/>
  <c r="B25" i="32"/>
  <c r="C3" i="27"/>
  <c r="E2" i="27" s="1"/>
  <c r="C50" i="27"/>
  <c r="BB14" i="7"/>
  <c r="C6" i="27"/>
  <c r="C42" i="27"/>
  <c r="C11" i="27"/>
  <c r="C45" i="27"/>
  <c r="C32" i="27"/>
  <c r="C17" i="27"/>
  <c r="C48" i="27"/>
  <c r="C22" i="27"/>
  <c r="C38" i="27"/>
  <c r="C51" i="27"/>
  <c r="C31" i="27"/>
  <c r="C5" i="27"/>
  <c r="C36" i="27"/>
  <c r="C30" i="27"/>
  <c r="C14" i="27"/>
  <c r="C9" i="27"/>
  <c r="C27" i="27"/>
  <c r="C12" i="27"/>
  <c r="C29" i="27"/>
  <c r="C43" i="27"/>
  <c r="C20" i="27"/>
  <c r="C21" i="27"/>
  <c r="C24" i="27"/>
  <c r="C37" i="27"/>
  <c r="C47" i="27"/>
  <c r="C35" i="27"/>
  <c r="C13" i="27"/>
  <c r="C18" i="27"/>
  <c r="C28" i="27"/>
  <c r="C8" i="27"/>
  <c r="C40" i="27"/>
  <c r="C49" i="27"/>
  <c r="C19" i="27"/>
  <c r="C16" i="27"/>
  <c r="C52" i="27"/>
  <c r="C4" i="27"/>
  <c r="D2" i="27" s="1"/>
  <c r="C25" i="27"/>
  <c r="C15" i="27"/>
  <c r="C33" i="27"/>
  <c r="C46" i="27"/>
  <c r="C41" i="27"/>
  <c r="C39" i="27"/>
  <c r="C7" i="27"/>
  <c r="C44" i="27"/>
  <c r="C10" i="27"/>
  <c r="C26" i="27"/>
  <c r="C53" i="27"/>
  <c r="C34" i="27"/>
  <c r="C23" i="27"/>
  <c r="B17" i="32"/>
  <c r="N6" i="68" s="1"/>
  <c r="U6" i="68" l="1"/>
  <c r="H25" i="32"/>
  <c r="C7" i="68"/>
  <c r="AH108" i="11"/>
  <c r="C8" i="68"/>
  <c r="B27" i="32"/>
  <c r="D15" i="27"/>
  <c r="E15" i="27" s="1"/>
  <c r="D38" i="27"/>
  <c r="E38" i="27" s="1"/>
  <c r="D34" i="27"/>
  <c r="E34" i="27" s="1"/>
  <c r="D8" i="27"/>
  <c r="E8" i="27" s="1"/>
  <c r="D36" i="27"/>
  <c r="E36" i="27" s="1"/>
  <c r="D25" i="27"/>
  <c r="E25" i="27" s="1"/>
  <c r="D43" i="27"/>
  <c r="E43" i="27" s="1"/>
  <c r="D41" i="27"/>
  <c r="E41" i="27" s="1"/>
  <c r="D20" i="27"/>
  <c r="E20" i="27" s="1"/>
  <c r="D7" i="27"/>
  <c r="E7" i="27" s="1"/>
  <c r="D22" i="27"/>
  <c r="E22" i="27" s="1"/>
  <c r="D3" i="27"/>
  <c r="E3" i="27" s="1"/>
  <c r="F3" i="27" s="1"/>
  <c r="D6" i="27"/>
  <c r="E6" i="27" s="1"/>
  <c r="D32" i="27"/>
  <c r="E32" i="27" s="1"/>
  <c r="D29" i="27"/>
  <c r="E29" i="27" s="1"/>
  <c r="D33" i="27"/>
  <c r="E33" i="27" s="1"/>
  <c r="D12" i="27"/>
  <c r="E12" i="27" s="1"/>
  <c r="D9" i="27"/>
  <c r="E9" i="27" s="1"/>
  <c r="D52" i="27"/>
  <c r="E52" i="27" s="1"/>
  <c r="D26" i="27"/>
  <c r="E26" i="27" s="1"/>
  <c r="D27" i="27"/>
  <c r="E27" i="27" s="1"/>
  <c r="D46" i="27"/>
  <c r="E46" i="27" s="1"/>
  <c r="D5" i="27"/>
  <c r="E5" i="27" s="1"/>
  <c r="D31" i="27"/>
  <c r="E31" i="27" s="1"/>
  <c r="D53" i="27"/>
  <c r="E53" i="27" s="1"/>
  <c r="D44" i="27"/>
  <c r="E44" i="27" s="1"/>
  <c r="D47" i="27"/>
  <c r="E47" i="27" s="1"/>
  <c r="D18" i="27"/>
  <c r="E18" i="27" s="1"/>
  <c r="D40" i="27"/>
  <c r="E40" i="27" s="1"/>
  <c r="D10" i="27"/>
  <c r="E10" i="27" s="1"/>
  <c r="D35" i="27"/>
  <c r="E35" i="27" s="1"/>
  <c r="D23" i="27"/>
  <c r="E23" i="27" s="1"/>
  <c r="D50" i="27"/>
  <c r="E50" i="27" s="1"/>
  <c r="D24" i="27"/>
  <c r="E24" i="27" s="1"/>
  <c r="D17" i="27"/>
  <c r="E17" i="27" s="1"/>
  <c r="D4" i="27"/>
  <c r="D19" i="27"/>
  <c r="E19" i="27" s="1"/>
  <c r="D13" i="27"/>
  <c r="E13" i="27" s="1"/>
  <c r="D42" i="27"/>
  <c r="E42" i="27" s="1"/>
  <c r="D51" i="27"/>
  <c r="E51" i="27" s="1"/>
  <c r="D39" i="27"/>
  <c r="E39" i="27" s="1"/>
  <c r="D45" i="27"/>
  <c r="E45" i="27" s="1"/>
  <c r="D11" i="27"/>
  <c r="E11" i="27" s="1"/>
  <c r="D28" i="27"/>
  <c r="E28" i="27" s="1"/>
  <c r="D48" i="27"/>
  <c r="E48" i="27" s="1"/>
  <c r="D21" i="27"/>
  <c r="E21" i="27" s="1"/>
  <c r="D16" i="27"/>
  <c r="E16" i="27" s="1"/>
  <c r="D14" i="27"/>
  <c r="E14" i="27" s="1"/>
  <c r="D49" i="27"/>
  <c r="E49" i="27" s="1"/>
  <c r="D30" i="27"/>
  <c r="E30" i="27" s="1"/>
  <c r="D37" i="27"/>
  <c r="E37" i="27" s="1"/>
  <c r="H17" i="32" l="1"/>
  <c r="H27" i="32"/>
  <c r="Q13" i="4"/>
  <c r="W6" i="68"/>
  <c r="F28" i="27"/>
  <c r="G28" i="27" s="1"/>
  <c r="H28" i="27" s="1"/>
  <c r="J30" i="11" s="1"/>
  <c r="AH30" i="11" s="1"/>
  <c r="F18" i="27"/>
  <c r="G18" i="27" s="1"/>
  <c r="H18" i="27" s="1"/>
  <c r="J20" i="11" s="1"/>
  <c r="AH20" i="11" s="1"/>
  <c r="F51" i="27"/>
  <c r="G51" i="27" s="1"/>
  <c r="H51" i="27" s="1"/>
  <c r="J53" i="11" s="1"/>
  <c r="AH53" i="11" s="1"/>
  <c r="F21" i="27"/>
  <c r="G21" i="27" s="1"/>
  <c r="H21" i="27" s="1"/>
  <c r="J23" i="11" s="1"/>
  <c r="AH23" i="11" s="1"/>
  <c r="F13" i="27"/>
  <c r="G13" i="27" s="1"/>
  <c r="H13" i="27" s="1"/>
  <c r="J15" i="11" s="1"/>
  <c r="AH15" i="11" s="1"/>
  <c r="F10" i="27"/>
  <c r="G10" i="27" s="1"/>
  <c r="H10" i="27" s="1"/>
  <c r="J12" i="11" s="1"/>
  <c r="AH12" i="11" s="1"/>
  <c r="F46" i="27"/>
  <c r="G46" i="27" s="1"/>
  <c r="H46" i="27" s="1"/>
  <c r="J48" i="11" s="1"/>
  <c r="AH48" i="11" s="1"/>
  <c r="F14" i="27"/>
  <c r="G14" i="27" s="1"/>
  <c r="H14" i="27" s="1"/>
  <c r="J16" i="11" s="1"/>
  <c r="AH16" i="11" s="1"/>
  <c r="F30" i="27"/>
  <c r="G30" i="27" s="1"/>
  <c r="H30" i="27" s="1"/>
  <c r="J32" i="11" s="1"/>
  <c r="AH32" i="11" s="1"/>
  <c r="F45" i="27"/>
  <c r="G45" i="27" s="1"/>
  <c r="H45" i="27" s="1"/>
  <c r="J47" i="11" s="1"/>
  <c r="AH47" i="11" s="1"/>
  <c r="F24" i="27"/>
  <c r="G24" i="27" s="1"/>
  <c r="H24" i="27" s="1"/>
  <c r="J26" i="11" s="1"/>
  <c r="AH26" i="11" s="1"/>
  <c r="F44" i="27"/>
  <c r="G44" i="27" s="1"/>
  <c r="H44" i="27" s="1"/>
  <c r="J46" i="11" s="1"/>
  <c r="AH46" i="11" s="1"/>
  <c r="F9" i="27"/>
  <c r="G9" i="27" s="1"/>
  <c r="H9" i="27" s="1"/>
  <c r="J11" i="11" s="1"/>
  <c r="AH11" i="11" s="1"/>
  <c r="F7" i="27"/>
  <c r="G7" i="27" s="1"/>
  <c r="H7" i="27" s="1"/>
  <c r="J9" i="11" s="1"/>
  <c r="AH9" i="11" s="1"/>
  <c r="F38" i="27"/>
  <c r="G38" i="27" s="1"/>
  <c r="H38" i="27" s="1"/>
  <c r="J40" i="11" s="1"/>
  <c r="AH40" i="11" s="1"/>
  <c r="F26" i="27"/>
  <c r="G26" i="27" s="1"/>
  <c r="H26" i="27" s="1"/>
  <c r="J28" i="11" s="1"/>
  <c r="AH28" i="11" s="1"/>
  <c r="F49" i="27"/>
  <c r="G49" i="27" s="1"/>
  <c r="H49" i="27" s="1"/>
  <c r="J51" i="11" s="1"/>
  <c r="AH51" i="11" s="1"/>
  <c r="F39" i="27"/>
  <c r="G39" i="27" s="1"/>
  <c r="H39" i="27" s="1"/>
  <c r="J41" i="11" s="1"/>
  <c r="AH41" i="11" s="1"/>
  <c r="F50" i="27"/>
  <c r="G50" i="27" s="1"/>
  <c r="H50" i="27" s="1"/>
  <c r="J52" i="11" s="1"/>
  <c r="AH52" i="11" s="1"/>
  <c r="F53" i="27"/>
  <c r="G53" i="27" s="1"/>
  <c r="H53" i="27" s="1"/>
  <c r="J55" i="11" s="1"/>
  <c r="AH55" i="11" s="1"/>
  <c r="F12" i="27"/>
  <c r="G12" i="27" s="1"/>
  <c r="H12" i="27" s="1"/>
  <c r="J14" i="11" s="1"/>
  <c r="AH14" i="11" s="1"/>
  <c r="F20" i="27"/>
  <c r="G20" i="27" s="1"/>
  <c r="H20" i="27" s="1"/>
  <c r="J22" i="11" s="1"/>
  <c r="AH22" i="11" s="1"/>
  <c r="F15" i="27"/>
  <c r="G15" i="27" s="1"/>
  <c r="H15" i="27" s="1"/>
  <c r="J17" i="11" s="1"/>
  <c r="AH17" i="11" s="1"/>
  <c r="F32" i="27"/>
  <c r="G32" i="27" s="1"/>
  <c r="H32" i="27" s="1"/>
  <c r="J34" i="11" s="1"/>
  <c r="AH34" i="11" s="1"/>
  <c r="F25" i="27"/>
  <c r="G25" i="27" s="1"/>
  <c r="H25" i="27" s="1"/>
  <c r="J27" i="11" s="1"/>
  <c r="AH27" i="11" s="1"/>
  <c r="F48" i="27"/>
  <c r="G48" i="27" s="1"/>
  <c r="H48" i="27" s="1"/>
  <c r="J50" i="11" s="1"/>
  <c r="AH50" i="11" s="1"/>
  <c r="F19" i="27"/>
  <c r="G19" i="27" s="1"/>
  <c r="H19" i="27" s="1"/>
  <c r="J21" i="11" s="1"/>
  <c r="AH21" i="11" s="1"/>
  <c r="F40" i="27"/>
  <c r="G40" i="27" s="1"/>
  <c r="H40" i="27" s="1"/>
  <c r="J42" i="11" s="1"/>
  <c r="AH42" i="11" s="1"/>
  <c r="F27" i="27"/>
  <c r="G27" i="27" s="1"/>
  <c r="H27" i="27" s="1"/>
  <c r="J29" i="11" s="1"/>
  <c r="AH29" i="11" s="1"/>
  <c r="F6" i="27"/>
  <c r="G6" i="27" s="1"/>
  <c r="H6" i="27" s="1"/>
  <c r="J8" i="11" s="1"/>
  <c r="AH8" i="11" s="1"/>
  <c r="F36" i="27"/>
  <c r="G36" i="27" s="1"/>
  <c r="H36" i="27" s="1"/>
  <c r="J38" i="11" s="1"/>
  <c r="AH38" i="11" s="1"/>
  <c r="F8" i="27"/>
  <c r="G8" i="27" s="1"/>
  <c r="H8" i="27" s="1"/>
  <c r="J10" i="11" s="1"/>
  <c r="AH10" i="11" s="1"/>
  <c r="G3" i="27"/>
  <c r="F37" i="27"/>
  <c r="G37" i="27" s="1"/>
  <c r="H37" i="27" s="1"/>
  <c r="J39" i="11" s="1"/>
  <c r="AH39" i="11" s="1"/>
  <c r="F11" i="27"/>
  <c r="G11" i="27" s="1"/>
  <c r="H11" i="27" s="1"/>
  <c r="J13" i="11" s="1"/>
  <c r="AH13" i="11" s="1"/>
  <c r="F17" i="27"/>
  <c r="G17" i="27" s="1"/>
  <c r="H17" i="27" s="1"/>
  <c r="J19" i="11" s="1"/>
  <c r="AH19" i="11" s="1"/>
  <c r="F47" i="27"/>
  <c r="G47" i="27" s="1"/>
  <c r="H47" i="27" s="1"/>
  <c r="J49" i="11" s="1"/>
  <c r="AH49" i="11" s="1"/>
  <c r="F52" i="27"/>
  <c r="G52" i="27" s="1"/>
  <c r="H52" i="27" s="1"/>
  <c r="J54" i="11" s="1"/>
  <c r="AH54" i="11" s="1"/>
  <c r="F22" i="27"/>
  <c r="G22" i="27" s="1"/>
  <c r="H22" i="27" s="1"/>
  <c r="J24" i="11" s="1"/>
  <c r="AH24" i="11" s="1"/>
  <c r="F34" i="27"/>
  <c r="G34" i="27" s="1"/>
  <c r="H34" i="27" s="1"/>
  <c r="J36" i="11" s="1"/>
  <c r="AH36" i="11" s="1"/>
  <c r="F23" i="27"/>
  <c r="G23" i="27" s="1"/>
  <c r="H23" i="27" s="1"/>
  <c r="J25" i="11" s="1"/>
  <c r="AH25" i="11" s="1"/>
  <c r="F31" i="27"/>
  <c r="G31" i="27" s="1"/>
  <c r="H31" i="27" s="1"/>
  <c r="J33" i="11" s="1"/>
  <c r="AH33" i="11" s="1"/>
  <c r="F33" i="27"/>
  <c r="G33" i="27" s="1"/>
  <c r="H33" i="27" s="1"/>
  <c r="J35" i="11" s="1"/>
  <c r="AH35" i="11" s="1"/>
  <c r="F41" i="27"/>
  <c r="G41" i="27" s="1"/>
  <c r="H41" i="27" s="1"/>
  <c r="J43" i="11" s="1"/>
  <c r="AH43" i="11" s="1"/>
  <c r="F16" i="27"/>
  <c r="G16" i="27" s="1"/>
  <c r="H16" i="27" s="1"/>
  <c r="J18" i="11" s="1"/>
  <c r="AH18" i="11" s="1"/>
  <c r="F42" i="27"/>
  <c r="G42" i="27" s="1"/>
  <c r="H42" i="27" s="1"/>
  <c r="J44" i="11" s="1"/>
  <c r="AH44" i="11" s="1"/>
  <c r="F35" i="27"/>
  <c r="G35" i="27" s="1"/>
  <c r="H35" i="27" s="1"/>
  <c r="J37" i="11" s="1"/>
  <c r="AH37" i="11" s="1"/>
  <c r="F5" i="27"/>
  <c r="G5" i="27" s="1"/>
  <c r="F29" i="27"/>
  <c r="G29" i="27" s="1"/>
  <c r="H29" i="27" s="1"/>
  <c r="J31" i="11" s="1"/>
  <c r="AH31" i="11" s="1"/>
  <c r="F43" i="27"/>
  <c r="G43" i="27" s="1"/>
  <c r="H43" i="27" s="1"/>
  <c r="J45" i="11" s="1"/>
  <c r="AH45" i="11" s="1"/>
  <c r="AJ8" i="11" l="1"/>
  <c r="AJ18" i="11"/>
  <c r="AJ14" i="11"/>
  <c r="AJ19" i="11"/>
  <c r="AJ46" i="11"/>
  <c r="AJ36" i="11"/>
  <c r="AJ10" i="11"/>
  <c r="AJ34" i="11"/>
  <c r="AJ28" i="11"/>
  <c r="AJ16" i="11"/>
  <c r="AJ37" i="11"/>
  <c r="AJ24" i="11"/>
  <c r="AJ38" i="11"/>
  <c r="AJ17" i="11"/>
  <c r="AJ40" i="11"/>
  <c r="AJ48" i="11"/>
  <c r="AJ44" i="11"/>
  <c r="AJ22" i="11"/>
  <c r="AJ49" i="11"/>
  <c r="AJ15" i="11"/>
  <c r="AJ55" i="11"/>
  <c r="AJ35" i="11"/>
  <c r="AJ13" i="11"/>
  <c r="AJ21" i="11"/>
  <c r="AJ52" i="11"/>
  <c r="AJ26" i="11"/>
  <c r="AJ53" i="11"/>
  <c r="AJ54" i="11"/>
  <c r="AJ12" i="11"/>
  <c r="AJ11" i="11"/>
  <c r="AJ42" i="11"/>
  <c r="AJ45" i="11"/>
  <c r="AJ33" i="11"/>
  <c r="AJ39" i="11"/>
  <c r="AJ50" i="11"/>
  <c r="AJ41" i="11"/>
  <c r="AJ47" i="11"/>
  <c r="AJ20" i="11"/>
  <c r="AJ9" i="11"/>
  <c r="AJ29" i="11"/>
  <c r="AJ43" i="11"/>
  <c r="AJ23" i="11"/>
  <c r="AJ31" i="11"/>
  <c r="AJ25" i="11"/>
  <c r="AJ27" i="11"/>
  <c r="AJ51" i="11"/>
  <c r="AJ32" i="11"/>
  <c r="AJ30" i="11"/>
  <c r="G55" i="27"/>
  <c r="G56" i="27"/>
  <c r="H5" i="27"/>
  <c r="C32" i="68" l="1"/>
  <c r="C31" i="68"/>
  <c r="C47" i="68"/>
  <c r="C23" i="68"/>
  <c r="C50" i="68"/>
  <c r="C36" i="68"/>
  <c r="C34" i="68"/>
  <c r="C11" i="68"/>
  <c r="C44" i="68"/>
  <c r="C15" i="68"/>
  <c r="C42" i="68"/>
  <c r="C12" i="68"/>
  <c r="C53" i="68"/>
  <c r="C37" i="68"/>
  <c r="C29" i="68"/>
  <c r="C57" i="68"/>
  <c r="C27" i="68"/>
  <c r="C17" i="68"/>
  <c r="C55" i="68"/>
  <c r="C51" i="68"/>
  <c r="C39" i="68"/>
  <c r="C16" i="68"/>
  <c r="C13" i="68"/>
  <c r="C38" i="68"/>
  <c r="C49" i="68"/>
  <c r="C48" i="68"/>
  <c r="C56" i="68"/>
  <c r="C21" i="68"/>
  <c r="C52" i="68"/>
  <c r="C41" i="68"/>
  <c r="C28" i="68"/>
  <c r="C24" i="68"/>
  <c r="C18" i="68"/>
  <c r="C20" i="68"/>
  <c r="C22" i="68"/>
  <c r="C19" i="68"/>
  <c r="C14" i="68"/>
  <c r="C40" i="68"/>
  <c r="C43" i="68"/>
  <c r="C26" i="68"/>
  <c r="C33" i="68"/>
  <c r="C25" i="68"/>
  <c r="C45" i="68"/>
  <c r="C35" i="68"/>
  <c r="C54" i="68"/>
  <c r="C46" i="68"/>
  <c r="C30" i="68"/>
  <c r="C10" i="68"/>
  <c r="H55" i="27"/>
  <c r="J7" i="11"/>
  <c r="AH7" i="11" s="1"/>
  <c r="H56" i="27"/>
  <c r="J22" i="27" s="1"/>
  <c r="C9" i="68" l="1"/>
  <c r="AJ7" i="11"/>
  <c r="J107" i="11"/>
  <c r="AQ14" i="7"/>
  <c r="J20" i="27"/>
  <c r="J24" i="27" s="1"/>
  <c r="AH107" i="11" l="1"/>
  <c r="J109" i="11"/>
  <c r="J110" i="11"/>
  <c r="AJ14" i="7"/>
  <c r="AK14" i="7" s="1"/>
  <c r="AS14" i="7"/>
  <c r="AT14" i="7"/>
  <c r="AH109" i="11" l="1"/>
  <c r="AQ3" i="7"/>
  <c r="AH110" i="11"/>
  <c r="AJ107" i="11"/>
  <c r="AJ3" i="7" l="1"/>
  <c r="B26" i="32"/>
  <c r="AS3" i="7"/>
  <c r="AT3" i="7"/>
  <c r="V6" i="68" l="1"/>
  <c r="H26" i="32"/>
  <c r="N26" i="32" s="1"/>
  <c r="B29" i="32"/>
  <c r="Y6" i="68" s="1"/>
  <c r="B28" i="32"/>
  <c r="Q14" i="4" s="1"/>
  <c r="Q12" i="4"/>
  <c r="B18" i="32"/>
  <c r="O6" i="68" s="1"/>
  <c r="AK3" i="7"/>
  <c r="H28" i="32" l="1"/>
  <c r="H18" i="32"/>
  <c r="H19" i="32" s="1"/>
  <c r="H29" i="32"/>
  <c r="X6" i="68"/>
  <c r="AH3" i="7"/>
  <c r="B19" i="32"/>
  <c r="N18" i="32"/>
  <c r="Q36" i="32"/>
  <c r="Q6" i="32"/>
  <c r="Q7" i="32" s="1"/>
  <c r="Q9" i="32" s="1"/>
  <c r="AK3" i="11" s="1"/>
  <c r="P6" i="68" l="1"/>
  <c r="H20" i="32"/>
  <c r="K35" i="32"/>
  <c r="K36" i="32" s="1"/>
  <c r="K37" i="32" s="1"/>
  <c r="B20" i="32"/>
  <c r="M6" i="68" s="1"/>
  <c r="R14" i="4"/>
  <c r="T14" i="4" s="1"/>
  <c r="AK31" i="11"/>
  <c r="AM31" i="11" s="1"/>
  <c r="AT31" i="11" s="1"/>
  <c r="AK42" i="11"/>
  <c r="AM42" i="11" s="1"/>
  <c r="AT42" i="11" s="1"/>
  <c r="AK53" i="11"/>
  <c r="AM53" i="11" s="1"/>
  <c r="AK43" i="11"/>
  <c r="AM43" i="11" s="1"/>
  <c r="AT43" i="11" s="1"/>
  <c r="AK44" i="11"/>
  <c r="AM44" i="11" s="1"/>
  <c r="AK25" i="11"/>
  <c r="AM25" i="11" s="1"/>
  <c r="AT25" i="11" s="1"/>
  <c r="AK22" i="11"/>
  <c r="AM22" i="11" s="1"/>
  <c r="AT22" i="11" s="1"/>
  <c r="AK13" i="11"/>
  <c r="AM13" i="11" s="1"/>
  <c r="AT13" i="11" s="1"/>
  <c r="AK45" i="11"/>
  <c r="AM45" i="11" s="1"/>
  <c r="AT45" i="11" s="1"/>
  <c r="AK38" i="11"/>
  <c r="AM38" i="11" s="1"/>
  <c r="AK17" i="11"/>
  <c r="AM17" i="11" s="1"/>
  <c r="AK34" i="11"/>
  <c r="AM34" i="11" s="1"/>
  <c r="AT34" i="11" s="1"/>
  <c r="AK9" i="11"/>
  <c r="AM9" i="11" s="1"/>
  <c r="AT9" i="11" s="1"/>
  <c r="AK47" i="11"/>
  <c r="AM47" i="11" s="1"/>
  <c r="AK19" i="11"/>
  <c r="AM19" i="11" s="1"/>
  <c r="AT19" i="11" s="1"/>
  <c r="AK39" i="11"/>
  <c r="AM39" i="11" s="1"/>
  <c r="AT39" i="11" s="1"/>
  <c r="AK26" i="11"/>
  <c r="AM26" i="11" s="1"/>
  <c r="AK54" i="11"/>
  <c r="AM54" i="11" s="1"/>
  <c r="AT54" i="11" s="1"/>
  <c r="AK27" i="11"/>
  <c r="AM27" i="11" s="1"/>
  <c r="AT27" i="11" s="1"/>
  <c r="AK32" i="11"/>
  <c r="AM32" i="11" s="1"/>
  <c r="AK35" i="11"/>
  <c r="AM35" i="11" s="1"/>
  <c r="AK48" i="11"/>
  <c r="AM48" i="11" s="1"/>
  <c r="AT48" i="11" s="1"/>
  <c r="AK29" i="11"/>
  <c r="AM29" i="11" s="1"/>
  <c r="AK50" i="11"/>
  <c r="AM50" i="11" s="1"/>
  <c r="AK23" i="11"/>
  <c r="AM23" i="11" s="1"/>
  <c r="AK52" i="11"/>
  <c r="AM52" i="11" s="1"/>
  <c r="AT52" i="11" s="1"/>
  <c r="AK10" i="11"/>
  <c r="AM10" i="11" s="1"/>
  <c r="AT10" i="11" s="1"/>
  <c r="AK24" i="11"/>
  <c r="AM24" i="11" s="1"/>
  <c r="AT24" i="11" s="1"/>
  <c r="AK18" i="11"/>
  <c r="AM18" i="11" s="1"/>
  <c r="AT18" i="11" s="1"/>
  <c r="AK33" i="11"/>
  <c r="AM33" i="11" s="1"/>
  <c r="AT33" i="11" s="1"/>
  <c r="AK51" i="11"/>
  <c r="AM51" i="11" s="1"/>
  <c r="AT51" i="11" s="1"/>
  <c r="AK12" i="11"/>
  <c r="AM12" i="11" s="1"/>
  <c r="AT12" i="11" s="1"/>
  <c r="AK40" i="11"/>
  <c r="AM40" i="11" s="1"/>
  <c r="AT40" i="11" s="1"/>
  <c r="AK49" i="11"/>
  <c r="AM49" i="11" s="1"/>
  <c r="AT49" i="11" s="1"/>
  <c r="AK46" i="11"/>
  <c r="AM46" i="11" s="1"/>
  <c r="AT46" i="11" s="1"/>
  <c r="AK37" i="11"/>
  <c r="AM37" i="11" s="1"/>
  <c r="AT37" i="11" s="1"/>
  <c r="AK15" i="11"/>
  <c r="AM15" i="11" s="1"/>
  <c r="AT15" i="11" s="1"/>
  <c r="AK55" i="11"/>
  <c r="AM55" i="11" s="1"/>
  <c r="AT55" i="11" s="1"/>
  <c r="AK14" i="11"/>
  <c r="AM14" i="11" s="1"/>
  <c r="AK8" i="11"/>
  <c r="AM8" i="11" s="1"/>
  <c r="AK28" i="11"/>
  <c r="AM28" i="11" s="1"/>
  <c r="AT28" i="11" s="1"/>
  <c r="AK21" i="11"/>
  <c r="AM21" i="11" s="1"/>
  <c r="AT21" i="11" s="1"/>
  <c r="AK7" i="11"/>
  <c r="AK30" i="11"/>
  <c r="AM30" i="11" s="1"/>
  <c r="AT30" i="11" s="1"/>
  <c r="AK16" i="11"/>
  <c r="AM16" i="11" s="1"/>
  <c r="AT16" i="11" s="1"/>
  <c r="AK36" i="11"/>
  <c r="AM36" i="11" s="1"/>
  <c r="AT36" i="11" s="1"/>
  <c r="AK20" i="11"/>
  <c r="AM20" i="11" s="1"/>
  <c r="AK11" i="11"/>
  <c r="AM11" i="11" s="1"/>
  <c r="AK41" i="11"/>
  <c r="AM41" i="11" s="1"/>
  <c r="AT17" i="11" l="1"/>
  <c r="AX17" i="11" s="1"/>
  <c r="AY17" i="11" s="1"/>
  <c r="AT53" i="11"/>
  <c r="AX53" i="11" s="1"/>
  <c r="AY53" i="11" s="1"/>
  <c r="AT38" i="11"/>
  <c r="AX38" i="11" s="1"/>
  <c r="AY38" i="11" s="1"/>
  <c r="AT41" i="11"/>
  <c r="AX41" i="11" s="1"/>
  <c r="AY41" i="11" s="1"/>
  <c r="AT23" i="11"/>
  <c r="AX23" i="11" s="1"/>
  <c r="AY23" i="11" s="1"/>
  <c r="AT26" i="11"/>
  <c r="AX26" i="11" s="1"/>
  <c r="AY26" i="11" s="1"/>
  <c r="AT47" i="11"/>
  <c r="AX47" i="11" s="1"/>
  <c r="AY47" i="11" s="1"/>
  <c r="AT11" i="11"/>
  <c r="AX11" i="11" s="1"/>
  <c r="AY11" i="11" s="1"/>
  <c r="AT8" i="11"/>
  <c r="AX8" i="11" s="1"/>
  <c r="AY8" i="11" s="1"/>
  <c r="AT50" i="11"/>
  <c r="AX50" i="11" s="1"/>
  <c r="AY50" i="11" s="1"/>
  <c r="AT20" i="11"/>
  <c r="AX20" i="11" s="1"/>
  <c r="AY20" i="11" s="1"/>
  <c r="AT14" i="11"/>
  <c r="AX14" i="11" s="1"/>
  <c r="AY14" i="11" s="1"/>
  <c r="AT29" i="11"/>
  <c r="AX29" i="11" s="1"/>
  <c r="AY29" i="11" s="1"/>
  <c r="AT35" i="11"/>
  <c r="AX35" i="11" s="1"/>
  <c r="AY35" i="11" s="1"/>
  <c r="AT44" i="11"/>
  <c r="AX44" i="11" s="1"/>
  <c r="AY44" i="11" s="1"/>
  <c r="AT32" i="11"/>
  <c r="AX32" i="11" s="1"/>
  <c r="AY32" i="11" s="1"/>
  <c r="K55" i="32"/>
  <c r="K24" i="32" s="1"/>
  <c r="AK107" i="11"/>
  <c r="AM7" i="11"/>
  <c r="BB46" i="11"/>
  <c r="AQ46" i="11"/>
  <c r="AX46" i="11"/>
  <c r="AY46" i="11" s="1"/>
  <c r="BB10" i="11"/>
  <c r="AX10" i="11"/>
  <c r="AY10" i="11" s="1"/>
  <c r="AQ10" i="11"/>
  <c r="AX27" i="11"/>
  <c r="AY27" i="11" s="1"/>
  <c r="BB27" i="11"/>
  <c r="AQ27" i="11"/>
  <c r="BB17" i="11"/>
  <c r="AQ17" i="11"/>
  <c r="BB53" i="11"/>
  <c r="AQ53" i="11"/>
  <c r="AQ21" i="11"/>
  <c r="AX21" i="11"/>
  <c r="AY21" i="11" s="1"/>
  <c r="BB21" i="11"/>
  <c r="AQ49" i="11"/>
  <c r="BB49" i="11"/>
  <c r="AX49" i="11"/>
  <c r="AY49" i="11" s="1"/>
  <c r="BB52" i="11"/>
  <c r="AQ52" i="11"/>
  <c r="AX52" i="11"/>
  <c r="AY52" i="11" s="1"/>
  <c r="AX54" i="11"/>
  <c r="AY54" i="11" s="1"/>
  <c r="BB54" i="11"/>
  <c r="AQ54" i="11"/>
  <c r="BB38" i="11"/>
  <c r="AQ38" i="11"/>
  <c r="BB42" i="11"/>
  <c r="AX42" i="11"/>
  <c r="AY42" i="11" s="1"/>
  <c r="AQ42" i="11"/>
  <c r="AX15" i="11"/>
  <c r="AY15" i="11" s="1"/>
  <c r="AQ15" i="11"/>
  <c r="BB15" i="11"/>
  <c r="AQ35" i="11"/>
  <c r="BB35" i="11"/>
  <c r="BB9" i="11"/>
  <c r="AX9" i="11"/>
  <c r="AY9" i="11" s="1"/>
  <c r="AQ9" i="11"/>
  <c r="BB37" i="11"/>
  <c r="AX37" i="11"/>
  <c r="AY37" i="11" s="1"/>
  <c r="AQ37" i="11"/>
  <c r="BB32" i="11"/>
  <c r="AQ32" i="11"/>
  <c r="BB43" i="11"/>
  <c r="AQ43" i="11"/>
  <c r="AX43" i="11"/>
  <c r="AY43" i="11" s="1"/>
  <c r="AX28" i="11"/>
  <c r="AY28" i="11" s="1"/>
  <c r="BB28" i="11"/>
  <c r="AQ28" i="11"/>
  <c r="BB23" i="11"/>
  <c r="AQ23" i="11"/>
  <c r="AX45" i="11"/>
  <c r="AY45" i="11" s="1"/>
  <c r="BB45" i="11"/>
  <c r="AQ45" i="11"/>
  <c r="BB8" i="11"/>
  <c r="AQ8" i="11"/>
  <c r="BB12" i="11"/>
  <c r="AQ12" i="11"/>
  <c r="AX12" i="11"/>
  <c r="AY12" i="11" s="1"/>
  <c r="BB50" i="11"/>
  <c r="AQ50" i="11"/>
  <c r="BB39" i="11"/>
  <c r="AQ39" i="11"/>
  <c r="AX39" i="11"/>
  <c r="AY39" i="11" s="1"/>
  <c r="BB13" i="11"/>
  <c r="AQ13" i="11"/>
  <c r="AX13" i="11"/>
  <c r="AY13" i="11" s="1"/>
  <c r="AQ16" i="11"/>
  <c r="AX16" i="11"/>
  <c r="AY16" i="11" s="1"/>
  <c r="BB16" i="11"/>
  <c r="BB18" i="11"/>
  <c r="AX18" i="11"/>
  <c r="AY18" i="11" s="1"/>
  <c r="AQ18" i="11"/>
  <c r="BB44" i="11"/>
  <c r="AQ44" i="11"/>
  <c r="BB30" i="11"/>
  <c r="AX30" i="11"/>
  <c r="AY30" i="11" s="1"/>
  <c r="AQ30" i="11"/>
  <c r="BB24" i="11"/>
  <c r="AX24" i="11"/>
  <c r="AY24" i="11" s="1"/>
  <c r="AQ24" i="11"/>
  <c r="BB34" i="11"/>
  <c r="AX34" i="11"/>
  <c r="AY34" i="11" s="1"/>
  <c r="AQ34" i="11"/>
  <c r="BB41" i="11"/>
  <c r="AQ41" i="11"/>
  <c r="BB40" i="11"/>
  <c r="AX40" i="11"/>
  <c r="AY40" i="11" s="1"/>
  <c r="AQ40" i="11"/>
  <c r="BB26" i="11"/>
  <c r="AQ26" i="11"/>
  <c r="BB31" i="11"/>
  <c r="AX31" i="11"/>
  <c r="AY31" i="11" s="1"/>
  <c r="AQ31" i="11"/>
  <c r="BB11" i="11"/>
  <c r="AQ11" i="11"/>
  <c r="BB20" i="11"/>
  <c r="AQ20" i="11"/>
  <c r="AQ14" i="11"/>
  <c r="BB14" i="11"/>
  <c r="BB51" i="11"/>
  <c r="AX51" i="11"/>
  <c r="AY51" i="11" s="1"/>
  <c r="AQ51" i="11"/>
  <c r="AQ29" i="11"/>
  <c r="BB29" i="11"/>
  <c r="BB19" i="11"/>
  <c r="AQ19" i="11"/>
  <c r="AX19" i="11"/>
  <c r="AY19" i="11" s="1"/>
  <c r="BB22" i="11"/>
  <c r="AX22" i="11"/>
  <c r="AY22" i="11" s="1"/>
  <c r="AQ22" i="11"/>
  <c r="BB36" i="11"/>
  <c r="AX36" i="11"/>
  <c r="AY36" i="11" s="1"/>
  <c r="AQ36" i="11"/>
  <c r="AQ55" i="11"/>
  <c r="BB55" i="11"/>
  <c r="AX55" i="11"/>
  <c r="AY55" i="11" s="1"/>
  <c r="AQ33" i="11"/>
  <c r="AX33" i="11"/>
  <c r="AY33" i="11" s="1"/>
  <c r="BB33" i="11"/>
  <c r="AX48" i="11"/>
  <c r="AY48" i="11" s="1"/>
  <c r="BB48" i="11"/>
  <c r="AQ48" i="11"/>
  <c r="AQ47" i="11"/>
  <c r="BB47" i="11"/>
  <c r="BB25" i="11"/>
  <c r="AQ25" i="11"/>
  <c r="AX25" i="11"/>
  <c r="AY25" i="11" s="1"/>
  <c r="BG35" i="11" l="1"/>
  <c r="AP44" i="67" s="1"/>
  <c r="BG17" i="11"/>
  <c r="AP26" i="67" s="1"/>
  <c r="BG8" i="11"/>
  <c r="AP17" i="67" s="1"/>
  <c r="BG50" i="11"/>
  <c r="AP59" i="67" s="1"/>
  <c r="BG14" i="11"/>
  <c r="AP23" i="67" s="1"/>
  <c r="BG53" i="11"/>
  <c r="AP62" i="67" s="1"/>
  <c r="BG26" i="11"/>
  <c r="AP35" i="67" s="1"/>
  <c r="BG44" i="11"/>
  <c r="AP53" i="67" s="1"/>
  <c r="BG29" i="11"/>
  <c r="AP38" i="67" s="1"/>
  <c r="BG47" i="11"/>
  <c r="AP56" i="67" s="1"/>
  <c r="BG23" i="11"/>
  <c r="AP32" i="67" s="1"/>
  <c r="BG11" i="11"/>
  <c r="AP20" i="67" s="1"/>
  <c r="BG41" i="11"/>
  <c r="AP50" i="67" s="1"/>
  <c r="BG20" i="11"/>
  <c r="AP29" i="67" s="1"/>
  <c r="BG32" i="11"/>
  <c r="AP41" i="67" s="1"/>
  <c r="BG38" i="11"/>
  <c r="AP47" i="67" s="1"/>
  <c r="N24" i="32"/>
  <c r="N16" i="32" s="1"/>
  <c r="N33" i="32"/>
  <c r="N40" i="32" s="1"/>
  <c r="S15" i="4" s="1"/>
  <c r="K16" i="32"/>
  <c r="AI4" i="11"/>
  <c r="AJ4" i="11" s="1"/>
  <c r="BG52" i="11"/>
  <c r="BG25" i="11"/>
  <c r="AP34" i="67" s="1"/>
  <c r="BG46" i="11"/>
  <c r="AP55" i="67" s="1"/>
  <c r="BG13" i="11"/>
  <c r="BG45" i="11"/>
  <c r="BG39" i="11"/>
  <c r="BG49" i="11"/>
  <c r="BG28" i="11"/>
  <c r="BG27" i="11"/>
  <c r="BG51" i="11"/>
  <c r="BG30" i="11"/>
  <c r="BG18" i="11"/>
  <c r="BG19" i="11"/>
  <c r="BG22" i="11"/>
  <c r="BG54" i="11"/>
  <c r="BG40" i="11"/>
  <c r="BG9" i="11"/>
  <c r="BG21" i="11"/>
  <c r="BG24" i="11"/>
  <c r="BG15" i="11"/>
  <c r="BG55" i="11"/>
  <c r="BG34" i="11"/>
  <c r="BG48" i="11"/>
  <c r="BG33" i="11"/>
  <c r="BG36" i="11"/>
  <c r="BG31" i="11"/>
  <c r="BG42" i="11"/>
  <c r="BG16" i="11"/>
  <c r="BG12" i="11"/>
  <c r="BG43" i="11"/>
  <c r="BG37" i="11"/>
  <c r="BG10" i="11"/>
  <c r="AR36" i="11"/>
  <c r="BN36" i="11" s="1"/>
  <c r="BH36" i="11"/>
  <c r="BH22" i="11"/>
  <c r="AR22" i="11"/>
  <c r="BN22" i="11" s="1"/>
  <c r="AR11" i="11"/>
  <c r="BN11" i="11" s="1"/>
  <c r="BH11" i="11"/>
  <c r="AR44" i="11"/>
  <c r="BN44" i="11" s="1"/>
  <c r="BH44" i="11"/>
  <c r="AR39" i="11"/>
  <c r="BN39" i="11" s="1"/>
  <c r="BH39" i="11"/>
  <c r="BH35" i="11"/>
  <c r="AR35" i="11"/>
  <c r="BN35" i="11" s="1"/>
  <c r="AR17" i="11"/>
  <c r="BN17" i="11" s="1"/>
  <c r="BH17" i="11"/>
  <c r="BH14" i="11"/>
  <c r="AR14" i="11"/>
  <c r="BN14" i="11" s="1"/>
  <c r="BH26" i="11"/>
  <c r="AR26" i="11"/>
  <c r="BN26" i="11" s="1"/>
  <c r="AR41" i="11"/>
  <c r="BN41" i="11" s="1"/>
  <c r="BH41" i="11"/>
  <c r="AR16" i="11"/>
  <c r="BN16" i="11" s="1"/>
  <c r="BH16" i="11"/>
  <c r="AR23" i="11"/>
  <c r="BN23" i="11" s="1"/>
  <c r="BH23" i="11"/>
  <c r="AR43" i="11"/>
  <c r="BN43" i="11" s="1"/>
  <c r="BH43" i="11"/>
  <c r="AR13" i="11"/>
  <c r="BN13" i="11" s="1"/>
  <c r="BH13" i="11"/>
  <c r="AR28" i="11"/>
  <c r="BN28" i="11" s="1"/>
  <c r="BH28" i="11"/>
  <c r="AR46" i="11"/>
  <c r="BN46" i="11" s="1"/>
  <c r="BH46" i="11"/>
  <c r="AR31" i="11"/>
  <c r="BN31" i="11" s="1"/>
  <c r="BH31" i="11"/>
  <c r="BH47" i="11"/>
  <c r="AR47" i="11"/>
  <c r="BN47" i="11" s="1"/>
  <c r="BH33" i="11"/>
  <c r="AR33" i="11"/>
  <c r="BN33" i="11" s="1"/>
  <c r="BH29" i="11"/>
  <c r="AR29" i="11"/>
  <c r="BN29" i="11" s="1"/>
  <c r="AR18" i="11"/>
  <c r="BN18" i="11" s="1"/>
  <c r="BH18" i="11"/>
  <c r="AR8" i="11"/>
  <c r="BN8" i="11" s="1"/>
  <c r="BH8" i="11"/>
  <c r="AR9" i="11"/>
  <c r="BN9" i="11" s="1"/>
  <c r="BH9" i="11"/>
  <c r="AR38" i="11"/>
  <c r="BN38" i="11" s="1"/>
  <c r="BH38" i="11"/>
  <c r="BH52" i="11"/>
  <c r="AR52" i="11"/>
  <c r="BN52" i="11" s="1"/>
  <c r="AR48" i="11"/>
  <c r="BN48" i="11" s="1"/>
  <c r="BH48" i="11"/>
  <c r="AR20" i="11"/>
  <c r="BN20" i="11" s="1"/>
  <c r="BH20" i="11"/>
  <c r="AR34" i="11"/>
  <c r="BN34" i="11" s="1"/>
  <c r="BH34" i="11"/>
  <c r="BH30" i="11"/>
  <c r="AR30" i="11"/>
  <c r="BN30" i="11" s="1"/>
  <c r="BH50" i="11"/>
  <c r="AR50" i="11"/>
  <c r="BN50" i="11" s="1"/>
  <c r="AR32" i="11"/>
  <c r="BN32" i="11" s="1"/>
  <c r="BH32" i="11"/>
  <c r="BH15" i="11"/>
  <c r="AR15" i="11"/>
  <c r="BN15" i="11" s="1"/>
  <c r="AR21" i="11"/>
  <c r="BN21" i="11" s="1"/>
  <c r="BH21" i="11"/>
  <c r="BH27" i="11"/>
  <c r="AR27" i="11"/>
  <c r="BN27" i="11" s="1"/>
  <c r="AR51" i="11"/>
  <c r="BN51" i="11" s="1"/>
  <c r="BH51" i="11"/>
  <c r="BH40" i="11"/>
  <c r="AR40" i="11"/>
  <c r="BN40" i="11" s="1"/>
  <c r="BH45" i="11"/>
  <c r="AR45" i="11"/>
  <c r="BN45" i="11" s="1"/>
  <c r="AR42" i="11"/>
  <c r="BN42" i="11" s="1"/>
  <c r="BH42" i="11"/>
  <c r="BH54" i="11"/>
  <c r="AR54" i="11"/>
  <c r="BN54" i="11" s="1"/>
  <c r="BH25" i="11"/>
  <c r="AR25" i="11"/>
  <c r="BN25" i="11" s="1"/>
  <c r="AR55" i="11"/>
  <c r="BN55" i="11" s="1"/>
  <c r="BH55" i="11"/>
  <c r="AR19" i="11"/>
  <c r="BN19" i="11" s="1"/>
  <c r="BH19" i="11"/>
  <c r="AR12" i="11"/>
  <c r="BN12" i="11" s="1"/>
  <c r="BH12" i="11"/>
  <c r="AR37" i="11"/>
  <c r="BN37" i="11" s="1"/>
  <c r="BH37" i="11"/>
  <c r="AR10" i="11"/>
  <c r="BN10" i="11" s="1"/>
  <c r="BH10" i="11"/>
  <c r="BB7" i="11"/>
  <c r="AM107" i="11"/>
  <c r="AQ7" i="11"/>
  <c r="AT7" i="11"/>
  <c r="BG7" i="11" s="1"/>
  <c r="AR53" i="11"/>
  <c r="BN53" i="11" s="1"/>
  <c r="BH53" i="11"/>
  <c r="BH24" i="11"/>
  <c r="AR24" i="11"/>
  <c r="BN24" i="11" s="1"/>
  <c r="AR49" i="11"/>
  <c r="BN49" i="11" s="1"/>
  <c r="BH49" i="11"/>
  <c r="Q26" i="32"/>
  <c r="AK109" i="11"/>
  <c r="Q28" i="32" s="1"/>
  <c r="AM4" i="11" l="1"/>
  <c r="AT4" i="11" s="1"/>
  <c r="W24" i="32" s="1"/>
  <c r="K38" i="32"/>
  <c r="K39" i="32" s="1"/>
  <c r="K40" i="32" s="1"/>
  <c r="K50" i="32"/>
  <c r="Q18" i="32"/>
  <c r="Q19" i="32" s="1"/>
  <c r="Q20" i="32" s="1"/>
  <c r="AP61" i="67"/>
  <c r="AP22" i="67"/>
  <c r="AT49" i="67"/>
  <c r="AU49" i="67" s="1"/>
  <c r="AT55" i="67"/>
  <c r="AU55" i="67" s="1"/>
  <c r="AT53" i="67"/>
  <c r="AU53" i="67" s="1"/>
  <c r="AP33" i="67"/>
  <c r="AT26" i="67"/>
  <c r="AU26" i="67" s="1"/>
  <c r="AP40" i="67"/>
  <c r="AP60" i="67"/>
  <c r="AT58" i="67"/>
  <c r="AU58" i="67" s="1"/>
  <c r="AT28" i="67"/>
  <c r="AU28" i="67" s="1"/>
  <c r="AT51" i="67"/>
  <c r="AU51" i="67" s="1"/>
  <c r="AT42" i="67"/>
  <c r="AU42" i="67" s="1"/>
  <c r="AP45" i="67"/>
  <c r="AP18" i="67"/>
  <c r="AP36" i="67"/>
  <c r="AT34" i="67"/>
  <c r="AU34" i="67" s="1"/>
  <c r="AT47" i="67"/>
  <c r="AU47" i="67" s="1"/>
  <c r="AP25" i="67"/>
  <c r="AP27" i="67"/>
  <c r="AP16" i="67"/>
  <c r="AT41" i="67"/>
  <c r="AU41" i="67" s="1"/>
  <c r="AP51" i="67"/>
  <c r="AT63" i="67"/>
  <c r="AU63" i="67" s="1"/>
  <c r="AT29" i="67"/>
  <c r="AU29" i="67" s="1"/>
  <c r="AT25" i="67"/>
  <c r="AU25" i="67" s="1"/>
  <c r="AP30" i="67"/>
  <c r="AT59" i="67"/>
  <c r="AU59" i="67" s="1"/>
  <c r="AT50" i="67"/>
  <c r="AU50" i="67" s="1"/>
  <c r="AP19" i="67"/>
  <c r="AP37" i="67"/>
  <c r="AT19" i="67"/>
  <c r="AT30" i="67"/>
  <c r="AU30" i="67" s="1"/>
  <c r="AT56" i="67"/>
  <c r="AU56" i="67" s="1"/>
  <c r="AT44" i="67"/>
  <c r="AU44" i="67" s="1"/>
  <c r="AT31" i="67"/>
  <c r="AU31" i="67" s="1"/>
  <c r="AP46" i="67"/>
  <c r="AP57" i="67"/>
  <c r="AP63" i="67"/>
  <c r="AP58" i="67"/>
  <c r="AT32" i="67"/>
  <c r="AU32" i="67" s="1"/>
  <c r="AP24" i="67"/>
  <c r="AT60" i="67"/>
  <c r="AU60" i="67" s="1"/>
  <c r="AT38" i="67"/>
  <c r="AU38" i="67" s="1"/>
  <c r="AT23" i="67"/>
  <c r="AU23" i="67" s="1"/>
  <c r="AT18" i="67"/>
  <c r="AU18" i="67" s="1"/>
  <c r="AT37" i="67"/>
  <c r="AU37" i="67" s="1"/>
  <c r="AT20" i="67"/>
  <c r="AU20" i="67" s="1"/>
  <c r="AT36" i="67"/>
  <c r="AU36" i="67" s="1"/>
  <c r="AT17" i="67"/>
  <c r="AU17" i="67" s="1"/>
  <c r="AP42" i="67"/>
  <c r="AT64" i="67"/>
  <c r="AU64" i="67" s="1"/>
  <c r="AT54" i="67"/>
  <c r="AU54" i="67" s="1"/>
  <c r="AT39" i="67"/>
  <c r="AU39" i="67" s="1"/>
  <c r="AT27" i="67"/>
  <c r="AU27" i="67" s="1"/>
  <c r="AT40" i="67"/>
  <c r="AU40" i="67" s="1"/>
  <c r="AT52" i="67"/>
  <c r="AU52" i="67" s="1"/>
  <c r="AT48" i="67"/>
  <c r="AU48" i="67" s="1"/>
  <c r="AT45" i="67"/>
  <c r="AU45" i="67" s="1"/>
  <c r="AP52" i="67"/>
  <c r="AP43" i="67"/>
  <c r="AP31" i="67"/>
  <c r="AP48" i="67"/>
  <c r="AT24" i="67"/>
  <c r="AU24" i="67" s="1"/>
  <c r="AT21" i="67"/>
  <c r="AU21" i="67" s="1"/>
  <c r="AP39" i="67"/>
  <c r="AT57" i="67"/>
  <c r="AU57" i="67" s="1"/>
  <c r="AT22" i="67"/>
  <c r="AU22" i="67" s="1"/>
  <c r="AP49" i="67"/>
  <c r="AT33" i="67"/>
  <c r="AU33" i="67" s="1"/>
  <c r="AT62" i="67"/>
  <c r="AU62" i="67" s="1"/>
  <c r="AT46" i="67"/>
  <c r="AU46" i="67" s="1"/>
  <c r="AT43" i="67"/>
  <c r="AU43" i="67" s="1"/>
  <c r="AT61" i="67"/>
  <c r="AU61" i="67" s="1"/>
  <c r="AT35" i="67"/>
  <c r="AU35" i="67" s="1"/>
  <c r="AP21" i="67"/>
  <c r="AP64" i="67"/>
  <c r="AP28" i="67"/>
  <c r="AP54" i="67"/>
  <c r="AT107" i="11"/>
  <c r="W26" i="32" s="1"/>
  <c r="AX7" i="11"/>
  <c r="T26" i="32"/>
  <c r="AR7" i="11"/>
  <c r="AQ107" i="11"/>
  <c r="BH7" i="11"/>
  <c r="T24" i="32" l="1"/>
  <c r="Z24" i="32" s="1"/>
  <c r="K56" i="32"/>
  <c r="K25" i="32" s="1"/>
  <c r="K17" i="32" s="1"/>
  <c r="K19" i="32" s="1"/>
  <c r="K20" i="32" s="1"/>
  <c r="AP66" i="67"/>
  <c r="AT16" i="67"/>
  <c r="AU16" i="67" s="1"/>
  <c r="AU19" i="67"/>
  <c r="T18" i="32"/>
  <c r="Z26" i="32"/>
  <c r="AC44" i="32"/>
  <c r="AQ109" i="11"/>
  <c r="Z44" i="32"/>
  <c r="AQ110" i="11"/>
  <c r="BN7" i="11"/>
  <c r="AR107" i="11"/>
  <c r="AY7" i="11"/>
  <c r="AY107" i="11" s="1"/>
  <c r="AX107" i="11"/>
  <c r="T16" i="32" l="1"/>
  <c r="AG53" i="32" s="1"/>
  <c r="F39" i="67" s="1"/>
  <c r="AI5" i="11"/>
  <c r="AJ5" i="11" s="1"/>
  <c r="N25" i="32"/>
  <c r="N17" i="32" s="1"/>
  <c r="N19" i="32" s="1"/>
  <c r="K27" i="32"/>
  <c r="K28" i="32" s="1"/>
  <c r="N34" i="32"/>
  <c r="N36" i="32" s="1"/>
  <c r="N37" i="32" s="1"/>
  <c r="Q15" i="4" s="1"/>
  <c r="AT66" i="67"/>
  <c r="AT68" i="67" s="1"/>
  <c r="AF44" i="32"/>
  <c r="AC46" i="32"/>
  <c r="Z46" i="32"/>
  <c r="AC24" i="32"/>
  <c r="AC39" i="32" s="1"/>
  <c r="AC26" i="32"/>
  <c r="AR109" i="11"/>
  <c r="AR110" i="11"/>
  <c r="BN58" i="11" s="1"/>
  <c r="AY109" i="11"/>
  <c r="AY110" i="11"/>
  <c r="W44" i="32"/>
  <c r="AX109" i="11"/>
  <c r="AX110" i="11"/>
  <c r="W46" i="32" s="1"/>
  <c r="M71" i="7" l="1"/>
  <c r="M72" i="7"/>
  <c r="P9" i="4" s="1"/>
  <c r="I35" i="67" s="1"/>
  <c r="S16" i="4"/>
  <c r="AM5" i="11"/>
  <c r="AM6" i="11" s="1"/>
  <c r="AN14" i="11" s="1"/>
  <c r="AJ6" i="11"/>
  <c r="N39" i="32"/>
  <c r="R15" i="4" s="1"/>
  <c r="T15" i="4" s="1"/>
  <c r="N27" i="32"/>
  <c r="N29" i="32" s="1"/>
  <c r="AI6" i="11"/>
  <c r="AI108" i="11" s="1"/>
  <c r="AI109" i="11" s="1"/>
  <c r="K29" i="32"/>
  <c r="N20" i="32"/>
  <c r="AF46" i="32"/>
  <c r="AF48" i="32" s="1"/>
  <c r="AF26" i="32"/>
  <c r="AF24" i="32"/>
  <c r="AN61" i="11" l="1"/>
  <c r="AN57" i="11"/>
  <c r="AN80" i="11"/>
  <c r="AN45" i="11"/>
  <c r="AN38" i="11"/>
  <c r="AN75" i="11"/>
  <c r="AN69" i="11"/>
  <c r="AN31" i="11"/>
  <c r="AN83" i="11"/>
  <c r="AN12" i="11"/>
  <c r="AN76" i="11"/>
  <c r="AN55" i="11"/>
  <c r="AN82" i="11"/>
  <c r="AN28" i="11"/>
  <c r="AN49" i="11"/>
  <c r="AN85" i="11"/>
  <c r="AN5" i="11"/>
  <c r="AN10" i="11"/>
  <c r="AN50" i="11"/>
  <c r="AN58" i="11"/>
  <c r="AN47" i="11"/>
  <c r="AN11" i="11"/>
  <c r="AN92" i="11"/>
  <c r="AN95" i="11"/>
  <c r="AN7" i="11"/>
  <c r="AN18" i="11"/>
  <c r="AN20" i="11"/>
  <c r="AN40" i="11"/>
  <c r="AN16" i="11"/>
  <c r="AN89" i="11"/>
  <c r="AN81" i="11"/>
  <c r="AN98" i="11"/>
  <c r="AN103" i="11"/>
  <c r="AN87" i="11"/>
  <c r="AN22" i="11"/>
  <c r="AN44" i="11"/>
  <c r="AN21" i="11"/>
  <c r="AN94" i="11"/>
  <c r="AN91" i="11"/>
  <c r="AN48" i="11"/>
  <c r="AT5" i="11"/>
  <c r="W25" i="32" s="1"/>
  <c r="AN23" i="11"/>
  <c r="AN26" i="11"/>
  <c r="AN34" i="11"/>
  <c r="AN33" i="11"/>
  <c r="AN24" i="11"/>
  <c r="AN72" i="11"/>
  <c r="AN78" i="11"/>
  <c r="AN36" i="11"/>
  <c r="AN9" i="11"/>
  <c r="AN52" i="11"/>
  <c r="AN62" i="11"/>
  <c r="AN88" i="11"/>
  <c r="AN64" i="11"/>
  <c r="AN8" i="11"/>
  <c r="BB6" i="11"/>
  <c r="BB107" i="11" s="1"/>
  <c r="BC76" i="11" s="1"/>
  <c r="BD76" i="11" s="1"/>
  <c r="AN67" i="11"/>
  <c r="AN13" i="11"/>
  <c r="AN102" i="11"/>
  <c r="AN37" i="11"/>
  <c r="AN25" i="11"/>
  <c r="AN79" i="11"/>
  <c r="AN71" i="11"/>
  <c r="AN84" i="11"/>
  <c r="AN96" i="11"/>
  <c r="AN17" i="11"/>
  <c r="AN104" i="11"/>
  <c r="AN4" i="11"/>
  <c r="AN53" i="11"/>
  <c r="AN41" i="11"/>
  <c r="AN105" i="11"/>
  <c r="AN65" i="11"/>
  <c r="AN60" i="11"/>
  <c r="AN15" i="11"/>
  <c r="AN100" i="11"/>
  <c r="AT6" i="11"/>
  <c r="BG6" i="11" s="1"/>
  <c r="AP15" i="67" s="1"/>
  <c r="AQ15" i="67" s="1"/>
  <c r="AN59" i="11"/>
  <c r="AN99" i="11"/>
  <c r="AN32" i="11"/>
  <c r="AN42" i="11"/>
  <c r="AN54" i="11"/>
  <c r="AN43" i="11"/>
  <c r="AN63" i="11"/>
  <c r="AN39" i="11"/>
  <c r="AN29" i="11"/>
  <c r="AN56" i="11"/>
  <c r="AN6" i="11"/>
  <c r="AN108" i="11" s="1"/>
  <c r="AN86" i="11"/>
  <c r="AN77" i="11"/>
  <c r="AN74" i="11"/>
  <c r="AN19" i="11"/>
  <c r="AN51" i="11"/>
  <c r="T25" i="32"/>
  <c r="T17" i="32" s="1"/>
  <c r="T19" i="32" s="1"/>
  <c r="AG52" i="32" s="1"/>
  <c r="D39" i="67" s="1"/>
  <c r="AN90" i="11"/>
  <c r="AN35" i="11"/>
  <c r="AN27" i="11"/>
  <c r="AM108" i="11"/>
  <c r="T27" i="32" s="1"/>
  <c r="Z27" i="32" s="1"/>
  <c r="C10" i="69" s="1"/>
  <c r="AN30" i="11"/>
  <c r="AN93" i="11"/>
  <c r="AN70" i="11"/>
  <c r="AN46" i="11"/>
  <c r="AN68" i="11"/>
  <c r="AN97" i="11"/>
  <c r="AN101" i="11"/>
  <c r="AN73" i="11"/>
  <c r="AN66" i="11"/>
  <c r="P8" i="4"/>
  <c r="N28" i="32"/>
  <c r="B31" i="32" s="1"/>
  <c r="AJ108" i="11"/>
  <c r="AJ109" i="11" s="1"/>
  <c r="AI110" i="11"/>
  <c r="L48" i="67"/>
  <c r="C12" i="12"/>
  <c r="C15" i="12" s="1"/>
  <c r="M16" i="4"/>
  <c r="M73" i="7" l="1"/>
  <c r="P10" i="4" s="1"/>
  <c r="I36" i="67" s="1"/>
  <c r="M69" i="7"/>
  <c r="P6" i="4" s="1"/>
  <c r="I32" i="67" s="1"/>
  <c r="BC88" i="11"/>
  <c r="BD88" i="11" s="1"/>
  <c r="AU48" i="11"/>
  <c r="BK48" i="11" s="1"/>
  <c r="AQ28" i="67"/>
  <c r="AU13" i="11"/>
  <c r="BK13" i="11" s="1"/>
  <c r="AU98" i="11"/>
  <c r="AU27" i="11"/>
  <c r="BK27" i="11" s="1"/>
  <c r="AU40" i="11"/>
  <c r="BK40" i="11" s="1"/>
  <c r="AU5" i="11"/>
  <c r="AQ19" i="67"/>
  <c r="AQ53" i="67"/>
  <c r="AU62" i="11"/>
  <c r="AU99" i="11"/>
  <c r="AU75" i="11"/>
  <c r="AU45" i="11"/>
  <c r="BK45" i="11" s="1"/>
  <c r="AU18" i="11"/>
  <c r="BK18" i="11" s="1"/>
  <c r="AU91" i="11"/>
  <c r="AQ62" i="67"/>
  <c r="AQ50" i="67"/>
  <c r="AQ33" i="67"/>
  <c r="AQ30" i="67"/>
  <c r="AU64" i="11"/>
  <c r="AQ57" i="67"/>
  <c r="AU74" i="11"/>
  <c r="R16" i="4"/>
  <c r="T16" i="4" s="1"/>
  <c r="AU46" i="11"/>
  <c r="BK46" i="11" s="1"/>
  <c r="AU97" i="11"/>
  <c r="AU22" i="11"/>
  <c r="BK22" i="11" s="1"/>
  <c r="AU17" i="11"/>
  <c r="BK17" i="11" s="1"/>
  <c r="AU11" i="11"/>
  <c r="BK11" i="11" s="1"/>
  <c r="AU31" i="11"/>
  <c r="BK31" i="11" s="1"/>
  <c r="AU61" i="11"/>
  <c r="AQ51" i="67"/>
  <c r="AU55" i="11"/>
  <c r="BK55" i="11" s="1"/>
  <c r="AU16" i="11"/>
  <c r="BK16" i="11" s="1"/>
  <c r="AU77" i="11"/>
  <c r="AU85" i="11"/>
  <c r="AQ27" i="67"/>
  <c r="AU12" i="11"/>
  <c r="BK12" i="11" s="1"/>
  <c r="AU104" i="11"/>
  <c r="AU23" i="11"/>
  <c r="BK23" i="11" s="1"/>
  <c r="AU53" i="11"/>
  <c r="BK53" i="11" s="1"/>
  <c r="AU15" i="11"/>
  <c r="BK15" i="11" s="1"/>
  <c r="AQ64" i="67"/>
  <c r="AQ40" i="67"/>
  <c r="AQ16" i="67"/>
  <c r="AU41" i="11"/>
  <c r="BK41" i="11" s="1"/>
  <c r="AU19" i="11"/>
  <c r="BK19" i="11" s="1"/>
  <c r="AU30" i="11"/>
  <c r="BK30" i="11" s="1"/>
  <c r="AU38" i="11"/>
  <c r="BK38" i="11" s="1"/>
  <c r="AQ26" i="67"/>
  <c r="AU82" i="11"/>
  <c r="AU20" i="11"/>
  <c r="BK20" i="11" s="1"/>
  <c r="AU105" i="11"/>
  <c r="AQ37" i="67"/>
  <c r="AU101" i="11"/>
  <c r="AU54" i="11"/>
  <c r="BK54" i="11" s="1"/>
  <c r="AU4" i="11"/>
  <c r="AU84" i="11"/>
  <c r="AU21" i="11"/>
  <c r="BK21" i="11" s="1"/>
  <c r="AU28" i="11"/>
  <c r="BK28" i="11" s="1"/>
  <c r="AU51" i="11"/>
  <c r="BK51" i="11" s="1"/>
  <c r="AU103" i="11"/>
  <c r="AU49" i="11"/>
  <c r="BK49" i="11" s="1"/>
  <c r="AU6" i="11"/>
  <c r="AU108" i="11" s="1"/>
  <c r="AU76" i="11"/>
  <c r="AU96" i="11"/>
  <c r="AQ56" i="67"/>
  <c r="AU68" i="11"/>
  <c r="AU93" i="11"/>
  <c r="AU33" i="11"/>
  <c r="BK33" i="11" s="1"/>
  <c r="AU10" i="11"/>
  <c r="BK10" i="11" s="1"/>
  <c r="AU34" i="11"/>
  <c r="BK34" i="11" s="1"/>
  <c r="AQ49" i="67"/>
  <c r="AU39" i="11"/>
  <c r="BK39" i="11" s="1"/>
  <c r="AU26" i="11"/>
  <c r="BK26" i="11" s="1"/>
  <c r="AU43" i="11"/>
  <c r="BK43" i="11" s="1"/>
  <c r="AU52" i="11"/>
  <c r="BK52" i="11" s="1"/>
  <c r="AU50" i="11"/>
  <c r="BK50" i="11" s="1"/>
  <c r="AQ21" i="67"/>
  <c r="AQ17" i="67"/>
  <c r="AU89" i="11"/>
  <c r="Z25" i="32"/>
  <c r="AC25" i="32" s="1"/>
  <c r="AP67" i="67"/>
  <c r="AP68" i="67" s="1"/>
  <c r="AQ25" i="67"/>
  <c r="AQ44" i="67"/>
  <c r="AQ48" i="67"/>
  <c r="AQ43" i="67"/>
  <c r="AQ47" i="67"/>
  <c r="AQ38" i="67"/>
  <c r="AQ41" i="67"/>
  <c r="AQ31" i="67"/>
  <c r="AQ34" i="67"/>
  <c r="BC32" i="11"/>
  <c r="BD32" i="11" s="1"/>
  <c r="AU92" i="11"/>
  <c r="AU29" i="11"/>
  <c r="BK29" i="11" s="1"/>
  <c r="AU57" i="11"/>
  <c r="AU90" i="11"/>
  <c r="AU78" i="11"/>
  <c r="BC16" i="11"/>
  <c r="BD16" i="11" s="1"/>
  <c r="BC68" i="11"/>
  <c r="BD68" i="11" s="1"/>
  <c r="BC44" i="11"/>
  <c r="BD44" i="11" s="1"/>
  <c r="BC10" i="11"/>
  <c r="BD10" i="11" s="1"/>
  <c r="BC65" i="11"/>
  <c r="BD65" i="11" s="1"/>
  <c r="BC15" i="11"/>
  <c r="BD15" i="11" s="1"/>
  <c r="AN107" i="11"/>
  <c r="AN109" i="11" s="1"/>
  <c r="BC101" i="11"/>
  <c r="BD101" i="11" s="1"/>
  <c r="BC91" i="11"/>
  <c r="BD91" i="11" s="1"/>
  <c r="BC30" i="11"/>
  <c r="BD30" i="11" s="1"/>
  <c r="BC12" i="11"/>
  <c r="BD12" i="11" s="1"/>
  <c r="BC62" i="11"/>
  <c r="BD62" i="11" s="1"/>
  <c r="BC93" i="11"/>
  <c r="BD93" i="11" s="1"/>
  <c r="BC72" i="11"/>
  <c r="BD72" i="11" s="1"/>
  <c r="BC52" i="11"/>
  <c r="BD52" i="11" s="1"/>
  <c r="BC51" i="11"/>
  <c r="BD51" i="11" s="1"/>
  <c r="AQ36" i="67"/>
  <c r="AQ55" i="67"/>
  <c r="BC13" i="11"/>
  <c r="BD13" i="11" s="1"/>
  <c r="BC24" i="11"/>
  <c r="BD24" i="11" s="1"/>
  <c r="BC94" i="11"/>
  <c r="BD94" i="11" s="1"/>
  <c r="BC92" i="11"/>
  <c r="BD92" i="11" s="1"/>
  <c r="BC36" i="11"/>
  <c r="BD36" i="11" s="1"/>
  <c r="BC29" i="11"/>
  <c r="BD29" i="11" s="1"/>
  <c r="BC90" i="11"/>
  <c r="BD90" i="11" s="1"/>
  <c r="BC69" i="11"/>
  <c r="BD69" i="11" s="1"/>
  <c r="BC56" i="11"/>
  <c r="BD56" i="11" s="1"/>
  <c r="BC25" i="11"/>
  <c r="BD25" i="11" s="1"/>
  <c r="BC63" i="11"/>
  <c r="BD63" i="11" s="1"/>
  <c r="BC99" i="11"/>
  <c r="BD99" i="11" s="1"/>
  <c r="BC66" i="11"/>
  <c r="BD66" i="11" s="1"/>
  <c r="BC60" i="11"/>
  <c r="BD60" i="11" s="1"/>
  <c r="BC81" i="11"/>
  <c r="BD81" i="11" s="1"/>
  <c r="BC20" i="11"/>
  <c r="BD20" i="11" s="1"/>
  <c r="BC19" i="11"/>
  <c r="BD19" i="11" s="1"/>
  <c r="BC17" i="11"/>
  <c r="BD17" i="11" s="1"/>
  <c r="BC59" i="11"/>
  <c r="BD59" i="11" s="1"/>
  <c r="BC61" i="11"/>
  <c r="BD61" i="11" s="1"/>
  <c r="BC58" i="11"/>
  <c r="BD58" i="11" s="1"/>
  <c r="BC97" i="11"/>
  <c r="BD97" i="11" s="1"/>
  <c r="BC8" i="11"/>
  <c r="BD8" i="11" s="1"/>
  <c r="BC43" i="11"/>
  <c r="BD43" i="11" s="1"/>
  <c r="BC75" i="11"/>
  <c r="BD75" i="11" s="1"/>
  <c r="BC37" i="11"/>
  <c r="BD37" i="11" s="1"/>
  <c r="BC100" i="11"/>
  <c r="BD100" i="11" s="1"/>
  <c r="BC105" i="11"/>
  <c r="BD105" i="11" s="1"/>
  <c r="BC11" i="11"/>
  <c r="BD11" i="11" s="1"/>
  <c r="BC79" i="11"/>
  <c r="BD79" i="11" s="1"/>
  <c r="BC73" i="11"/>
  <c r="BD73" i="11" s="1"/>
  <c r="BC6" i="11"/>
  <c r="BD6" i="11" s="1"/>
  <c r="BC34" i="11"/>
  <c r="BD34" i="11" s="1"/>
  <c r="BC46" i="11"/>
  <c r="BD46" i="11" s="1"/>
  <c r="BC39" i="11"/>
  <c r="BD39" i="11" s="1"/>
  <c r="BC85" i="11"/>
  <c r="BD85" i="11" s="1"/>
  <c r="BC82" i="11"/>
  <c r="BD82" i="11" s="1"/>
  <c r="BC83" i="11"/>
  <c r="BD83" i="11" s="1"/>
  <c r="BC42" i="11"/>
  <c r="BD42" i="11" s="1"/>
  <c r="BC86" i="11"/>
  <c r="BD86" i="11" s="1"/>
  <c r="BC23" i="11"/>
  <c r="BD23" i="11" s="1"/>
  <c r="BC21" i="11"/>
  <c r="BD21" i="11" s="1"/>
  <c r="BC96" i="11"/>
  <c r="BD96" i="11" s="1"/>
  <c r="BC40" i="11"/>
  <c r="BD40" i="11" s="1"/>
  <c r="BC33" i="11"/>
  <c r="BD33" i="11" s="1"/>
  <c r="BC55" i="11"/>
  <c r="BD55" i="11" s="1"/>
  <c r="BC41" i="11"/>
  <c r="BD41" i="11" s="1"/>
  <c r="BC67" i="11"/>
  <c r="BD67" i="11" s="1"/>
  <c r="BC27" i="11"/>
  <c r="BD27" i="11" s="1"/>
  <c r="BC87" i="11"/>
  <c r="BD87" i="11" s="1"/>
  <c r="BC64" i="11"/>
  <c r="BD64" i="11" s="1"/>
  <c r="BC50" i="11"/>
  <c r="BD50" i="11" s="1"/>
  <c r="BC38" i="11"/>
  <c r="BD38" i="11" s="1"/>
  <c r="BC71" i="11"/>
  <c r="BD71" i="11" s="1"/>
  <c r="BC57" i="11"/>
  <c r="BD57" i="11" s="1"/>
  <c r="BC9" i="11"/>
  <c r="BD9" i="11" s="1"/>
  <c r="BC47" i="11"/>
  <c r="BD47" i="11" s="1"/>
  <c r="BC77" i="11"/>
  <c r="BD77" i="11" s="1"/>
  <c r="BC7" i="11"/>
  <c r="BD7" i="11" s="1"/>
  <c r="BC102" i="11"/>
  <c r="BD102" i="11" s="1"/>
  <c r="BC26" i="11"/>
  <c r="BD26" i="11" s="1"/>
  <c r="BC104" i="11"/>
  <c r="BD104" i="11" s="1"/>
  <c r="BC49" i="11"/>
  <c r="BD49" i="11" s="1"/>
  <c r="BC22" i="11"/>
  <c r="BD22" i="11" s="1"/>
  <c r="BC80" i="11"/>
  <c r="BD80" i="11" s="1"/>
  <c r="BC53" i="11"/>
  <c r="BD53" i="11" s="1"/>
  <c r="BC45" i="11"/>
  <c r="BD45" i="11" s="1"/>
  <c r="BC95" i="11"/>
  <c r="BD95" i="11" s="1"/>
  <c r="BC98" i="11"/>
  <c r="BD98" i="11" s="1"/>
  <c r="BC31" i="11"/>
  <c r="BD31" i="11" s="1"/>
  <c r="BC28" i="11"/>
  <c r="BD28" i="11" s="1"/>
  <c r="BC70" i="11"/>
  <c r="BD70" i="11" s="1"/>
  <c r="BC54" i="11"/>
  <c r="BD54" i="11" s="1"/>
  <c r="BC14" i="11"/>
  <c r="BD14" i="11" s="1"/>
  <c r="BC103" i="11"/>
  <c r="BD103" i="11" s="1"/>
  <c r="BC18" i="11"/>
  <c r="BD18" i="11" s="1"/>
  <c r="BC35" i="11"/>
  <c r="BD35" i="11" s="1"/>
  <c r="BC78" i="11"/>
  <c r="BD78" i="11" s="1"/>
  <c r="BC84" i="11"/>
  <c r="BD84" i="11" s="1"/>
  <c r="BC48" i="11"/>
  <c r="BD48" i="11" s="1"/>
  <c r="BC74" i="11"/>
  <c r="BD74" i="11" s="1"/>
  <c r="BC89" i="11"/>
  <c r="BD89" i="11" s="1"/>
  <c r="AQ35" i="67"/>
  <c r="M70" i="7"/>
  <c r="M68" i="7" s="1"/>
  <c r="Q5" i="4" s="1"/>
  <c r="I31" i="67" s="1"/>
  <c r="AU73" i="11"/>
  <c r="AU71" i="11"/>
  <c r="AQ39" i="67"/>
  <c r="AU67" i="11"/>
  <c r="AQ20" i="67"/>
  <c r="AU59" i="11"/>
  <c r="AU63" i="11"/>
  <c r="AQ24" i="67"/>
  <c r="AU80" i="11"/>
  <c r="AU58" i="11"/>
  <c r="AQ63" i="67"/>
  <c r="AU60" i="11"/>
  <c r="AU86" i="11"/>
  <c r="AQ52" i="67"/>
  <c r="AU36" i="11"/>
  <c r="BK36" i="11" s="1"/>
  <c r="AU94" i="11"/>
  <c r="AU83" i="11"/>
  <c r="AU87" i="11"/>
  <c r="AQ22" i="67"/>
  <c r="Z33" i="32"/>
  <c r="D7" i="12" s="1"/>
  <c r="D8" i="12" s="1"/>
  <c r="Z34" i="32" s="1"/>
  <c r="AU69" i="11"/>
  <c r="AU70" i="11"/>
  <c r="AU95" i="11"/>
  <c r="AU72" i="11"/>
  <c r="AQ45" i="67"/>
  <c r="AT108" i="11"/>
  <c r="AQ23" i="67"/>
  <c r="AU9" i="11"/>
  <c r="BK9" i="11" s="1"/>
  <c r="AQ29" i="67"/>
  <c r="AU35" i="11"/>
  <c r="BK35" i="11" s="1"/>
  <c r="AU100" i="11"/>
  <c r="AQ32" i="67"/>
  <c r="AU66" i="11"/>
  <c r="AU65" i="11"/>
  <c r="AU47" i="11"/>
  <c r="BK47" i="11" s="1"/>
  <c r="AQ54" i="67"/>
  <c r="AU44" i="11"/>
  <c r="BK44" i="11" s="1"/>
  <c r="AU81" i="11"/>
  <c r="AU42" i="11"/>
  <c r="BK42" i="11" s="1"/>
  <c r="AM109" i="11"/>
  <c r="T28" i="32" s="1"/>
  <c r="Q16" i="4" s="1"/>
  <c r="AM110" i="11"/>
  <c r="T29" i="32" s="1"/>
  <c r="Z29" i="32" s="1"/>
  <c r="D6" i="12" s="1"/>
  <c r="AU56" i="11"/>
  <c r="AQ59" i="67"/>
  <c r="AU32" i="11"/>
  <c r="BK32" i="11" s="1"/>
  <c r="AU7" i="11"/>
  <c r="BK7" i="11" s="1"/>
  <c r="AQ58" i="67"/>
  <c r="AU8" i="11"/>
  <c r="BK8" i="11" s="1"/>
  <c r="AQ61" i="67"/>
  <c r="AU79" i="11"/>
  <c r="AQ46" i="67"/>
  <c r="AU25" i="11"/>
  <c r="BK25" i="11" s="1"/>
  <c r="AU102" i="11"/>
  <c r="AQ18" i="67"/>
  <c r="AU37" i="11"/>
  <c r="BK37" i="11" s="1"/>
  <c r="AU88" i="11"/>
  <c r="AQ60" i="67"/>
  <c r="AU14" i="11"/>
  <c r="BK14" i="11" s="1"/>
  <c r="AC27" i="32"/>
  <c r="AC33" i="32" s="1"/>
  <c r="E7" i="12" s="1"/>
  <c r="AU24" i="11"/>
  <c r="BK24" i="11" s="1"/>
  <c r="AQ42" i="67"/>
  <c r="I34" i="67"/>
  <c r="AJ110" i="11"/>
  <c r="T20" i="32"/>
  <c r="AG54" i="32" s="1"/>
  <c r="AN110" i="11" l="1"/>
  <c r="AT110" i="11"/>
  <c r="W29" i="32" s="1"/>
  <c r="C6" i="12" s="1"/>
  <c r="W27" i="32"/>
  <c r="W33" i="32" s="1"/>
  <c r="C7" i="12" s="1"/>
  <c r="C8" i="12" s="1"/>
  <c r="W34" i="32" s="1"/>
  <c r="AF34" i="32" s="1"/>
  <c r="Q32" i="32" s="1"/>
  <c r="Q33" i="32" s="1"/>
  <c r="Q39" i="32" s="1"/>
  <c r="Q40" i="32" s="1"/>
  <c r="AF25" i="32"/>
  <c r="P7" i="4"/>
  <c r="I33" i="67" s="1"/>
  <c r="BD107" i="11"/>
  <c r="AF41" i="32" s="1"/>
  <c r="C7" i="69" s="1"/>
  <c r="C8" i="69" s="1"/>
  <c r="C9" i="69" s="1"/>
  <c r="C11" i="69" s="1"/>
  <c r="Z41" i="32" s="1"/>
  <c r="Z28" i="32"/>
  <c r="C15" i="69" s="1"/>
  <c r="C16" i="69" s="1"/>
  <c r="D9" i="12"/>
  <c r="AC29" i="32"/>
  <c r="E6" i="12" s="1"/>
  <c r="E9" i="12" s="1"/>
  <c r="AT109" i="11"/>
  <c r="W28" i="32" s="1"/>
  <c r="AU107" i="11"/>
  <c r="AU109" i="11" s="1"/>
  <c r="AF27" i="32" l="1"/>
  <c r="AF29" i="32"/>
  <c r="L44" i="67" s="1"/>
  <c r="AC28" i="32"/>
  <c r="AF28" i="32" s="1"/>
  <c r="AG51" i="32" s="1"/>
  <c r="G39" i="67" s="1"/>
  <c r="L46" i="67"/>
  <c r="AR15" i="67" s="1"/>
  <c r="AS15" i="67" s="1"/>
  <c r="C9" i="12"/>
  <c r="M13" i="4"/>
  <c r="Z39" i="32"/>
  <c r="AF39" i="32" s="1"/>
  <c r="R17" i="4" s="1"/>
  <c r="C17" i="69"/>
  <c r="AF33" i="32"/>
  <c r="M12" i="4" s="1"/>
  <c r="AU110" i="11"/>
  <c r="BK58" i="11" s="1"/>
  <c r="AR18" i="67" l="1"/>
  <c r="AS18" i="67" s="1"/>
  <c r="AR60" i="67"/>
  <c r="AS60" i="67" s="1"/>
  <c r="AR37" i="67"/>
  <c r="AS37" i="67" s="1"/>
  <c r="AR25" i="67"/>
  <c r="AS25" i="67" s="1"/>
  <c r="AR19" i="67"/>
  <c r="AS19" i="67" s="1"/>
  <c r="M14" i="4"/>
  <c r="AF35" i="32"/>
  <c r="M42" i="67" s="1"/>
  <c r="AR40" i="67"/>
  <c r="AS40" i="67" s="1"/>
  <c r="AR44" i="67"/>
  <c r="AS44" i="67" s="1"/>
  <c r="AR57" i="67"/>
  <c r="AS57" i="67" s="1"/>
  <c r="AR53" i="67"/>
  <c r="AS53" i="67" s="1"/>
  <c r="AR63" i="67"/>
  <c r="AS63" i="67" s="1"/>
  <c r="AR51" i="67"/>
  <c r="AS51" i="67" s="1"/>
  <c r="AR42" i="67"/>
  <c r="AS42" i="67" s="1"/>
  <c r="AR61" i="67"/>
  <c r="AS61" i="67" s="1"/>
  <c r="E46" i="67"/>
  <c r="AR22" i="67"/>
  <c r="AS22" i="67" s="1"/>
  <c r="AR43" i="67"/>
  <c r="AS43" i="67" s="1"/>
  <c r="AR45" i="67"/>
  <c r="AS45" i="67" s="1"/>
  <c r="AR58" i="67"/>
  <c r="AS58" i="67" s="1"/>
  <c r="AR41" i="67"/>
  <c r="AS41" i="67" s="1"/>
  <c r="AR34" i="67"/>
  <c r="AS34" i="67" s="1"/>
  <c r="AR27" i="67"/>
  <c r="AS27" i="67" s="1"/>
  <c r="AR50" i="67"/>
  <c r="AS50" i="67" s="1"/>
  <c r="AR52" i="67"/>
  <c r="AS52" i="67" s="1"/>
  <c r="AR24" i="67"/>
  <c r="AS24" i="67" s="1"/>
  <c r="AR47" i="67"/>
  <c r="AS47" i="67" s="1"/>
  <c r="AR48" i="67"/>
  <c r="AS48" i="67" s="1"/>
  <c r="AR17" i="67"/>
  <c r="AS17" i="67" s="1"/>
  <c r="AR49" i="67"/>
  <c r="AS49" i="67" s="1"/>
  <c r="AR38" i="67"/>
  <c r="AS38" i="67" s="1"/>
  <c r="AR23" i="67"/>
  <c r="AS23" i="67" s="1"/>
  <c r="AR54" i="67"/>
  <c r="AS54" i="67" s="1"/>
  <c r="AR55" i="67"/>
  <c r="AS55" i="67" s="1"/>
  <c r="AR31" i="67"/>
  <c r="AS31" i="67" s="1"/>
  <c r="AR21" i="67"/>
  <c r="AS21" i="67" s="1"/>
  <c r="AR35" i="67"/>
  <c r="AS35" i="67" s="1"/>
  <c r="AR46" i="67"/>
  <c r="AS46" i="67" s="1"/>
  <c r="AR16" i="67"/>
  <c r="AS16" i="67" s="1"/>
  <c r="AR28" i="67"/>
  <c r="AS28" i="67" s="1"/>
  <c r="AR20" i="67"/>
  <c r="AS20" i="67" s="1"/>
  <c r="AR33" i="67"/>
  <c r="AS33" i="67" s="1"/>
  <c r="AR64" i="67"/>
  <c r="AS64" i="67" s="1"/>
  <c r="AR32" i="67"/>
  <c r="AS32" i="67" s="1"/>
  <c r="AR36" i="67"/>
  <c r="AS36" i="67" s="1"/>
  <c r="AR56" i="67"/>
  <c r="AS56" i="67" s="1"/>
  <c r="AR39" i="67"/>
  <c r="AS39" i="67" s="1"/>
  <c r="AR59" i="67"/>
  <c r="AS59" i="67" s="1"/>
  <c r="AR30" i="67"/>
  <c r="AS30" i="67" s="1"/>
  <c r="AR29" i="67"/>
  <c r="AS29" i="67" s="1"/>
  <c r="AR62" i="67"/>
  <c r="AS62" i="67" s="1"/>
  <c r="AR26" i="67"/>
  <c r="AS26" i="67" s="1"/>
  <c r="E39" i="67"/>
  <c r="S17" i="4"/>
  <c r="Q17" i="4"/>
  <c r="M15"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Rick L. Hoadley</author>
  </authors>
  <commentList>
    <comment ref="E15" authorId="0" shapeId="0" xr:uid="{32E90B30-CA01-43FB-BA3F-2154FA162EA3}">
      <text>
        <r>
          <rPr>
            <b/>
            <sz val="8"/>
            <color indexed="81"/>
            <rFont val="Tahoma"/>
            <family val="2"/>
          </rPr>
          <t>Max Percent of Source</t>
        </r>
        <r>
          <rPr>
            <sz val="8"/>
            <color indexed="81"/>
            <rFont val="Tahoma"/>
            <charset val="1"/>
          </rPr>
          <t xml:space="preserve">
This is a method to add an amount of linear loading to the drive loads in order to achieve the specified % load on the transformer or generator source. 
Typical values are 70% for the transformer loading, or 100% for the generator loading.  The average Power Factor of this linear load can also be specified.
Note that as the drive load changes, the amount of linear load will also change in order to maintain the % value specified.
Note that changes to the avg PF cell I16 will have an effect on the total  linear load amps in cell Q15, but the percentage of transformer maximum loading is still constant based on cell G16, so no changes to TDD% in cell M14 will occur.</t>
        </r>
      </text>
    </comment>
    <comment ref="E18" authorId="0" shapeId="0" xr:uid="{B241267C-C88B-4D92-9A7D-952203AD5267}">
      <text>
        <r>
          <rPr>
            <b/>
            <sz val="8"/>
            <color indexed="81"/>
            <rFont val="Tahoma"/>
            <family val="2"/>
          </rPr>
          <t>Itemized</t>
        </r>
        <r>
          <rPr>
            <sz val="8"/>
            <color indexed="81"/>
            <rFont val="Tahoma"/>
            <charset val="1"/>
          </rPr>
          <t xml:space="preserve">
This is a method to add specific linear loads to the drive loads on the system.
The loads can be made up of motors where you specify the HP ratings and average PF, resistive loads where you specify the kW and the PF is fixed at 1.0,, kVA loads where you specify the average PF, or amp loads, again where you specify the average PF.
As the drive loads chanage, these loads will stay the same.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Rick L. Hoadley</author>
  </authors>
  <commentList>
    <comment ref="AK3" authorId="0" shapeId="0" xr:uid="{00000000-0006-0000-0700-000001000000}">
      <text>
        <r>
          <rPr>
            <b/>
            <sz val="9"/>
            <color indexed="81"/>
            <rFont val="Tahoma"/>
            <family val="2"/>
          </rPr>
          <t>Rick L. Hoadley:</t>
        </r>
        <r>
          <rPr>
            <sz val="9"/>
            <color indexed="81"/>
            <rFont val="Tahoma"/>
            <family val="2"/>
          </rPr>
          <t xml:space="preserve">
multiplying factor</t>
        </r>
      </text>
    </comment>
  </commentList>
</comments>
</file>

<file path=xl/sharedStrings.xml><?xml version="1.0" encoding="utf-8"?>
<sst xmlns="http://schemas.openxmlformats.org/spreadsheetml/2006/main" count="2776" uniqueCount="1161">
  <si>
    <t>kVA</t>
  </si>
  <si>
    <t>%Z</t>
  </si>
  <si>
    <t>Irated</t>
  </si>
  <si>
    <t>Isc</t>
  </si>
  <si>
    <t>MVAsc</t>
  </si>
  <si>
    <t>Ithd</t>
  </si>
  <si>
    <t>Vthd</t>
  </si>
  <si>
    <t>Isc/Iload</t>
  </si>
  <si>
    <t>ID Tag</t>
  </si>
  <si>
    <t>AHF</t>
  </si>
  <si>
    <t>Current [A]</t>
  </si>
  <si>
    <t>Voltage[V]</t>
  </si>
  <si>
    <t xml:space="preserve"> </t>
  </si>
  <si>
    <t>A</t>
  </si>
  <si>
    <t>no of units</t>
  </si>
  <si>
    <t>motor eff</t>
  </si>
  <si>
    <t>drive eff</t>
  </si>
  <si>
    <t>TOTALS</t>
  </si>
  <si>
    <t>kW</t>
  </si>
  <si>
    <t>Drives</t>
  </si>
  <si>
    <t>Harmonic Estimation Data Input</t>
  </si>
  <si>
    <t>Itdd</t>
  </si>
  <si>
    <t>ft from PCC</t>
  </si>
  <si>
    <t>Isc [kA]</t>
  </si>
  <si>
    <t>qty</t>
  </si>
  <si>
    <t>rated HP</t>
  </si>
  <si>
    <t>V</t>
  </si>
  <si>
    <t>avg ft</t>
  </si>
  <si>
    <t>Isc / Iload</t>
  </si>
  <si>
    <t>Isc / Ifund</t>
  </si>
  <si>
    <t>motor pf</t>
  </si>
  <si>
    <t>total rated HP</t>
  </si>
  <si>
    <t>total ft</t>
  </si>
  <si>
    <t>Sin, [kVA]</t>
  </si>
  <si>
    <t>Qin, [kVAR]</t>
  </si>
  <si>
    <t>Ifund, [A]</t>
  </si>
  <si>
    <t>Iharm, [A]</t>
  </si>
  <si>
    <t>Itotal, [A]</t>
  </si>
  <si>
    <t>avg m</t>
  </si>
  <si>
    <t>MVA</t>
  </si>
  <si>
    <t>UTILITY</t>
  </si>
  <si>
    <t>System Freq [Hz]</t>
  </si>
  <si>
    <t>Utility [MVAsc]</t>
  </si>
  <si>
    <t>Xd" [pu]</t>
  </si>
  <si>
    <t>Utility [V]</t>
  </si>
  <si>
    <t>Transformer ID Tag</t>
  </si>
  <si>
    <t>Generator ID Tag</t>
  </si>
  <si>
    <t>VFD #</t>
  </si>
  <si>
    <t>% Load</t>
  </si>
  <si>
    <t>total actual HP</t>
  </si>
  <si>
    <t>avg pu load</t>
  </si>
  <si>
    <t>Linear Loads</t>
  </si>
  <si>
    <t>Iharm</t>
  </si>
  <si>
    <t>Ifund</t>
  </si>
  <si>
    <t>Itotal</t>
  </si>
  <si>
    <t>Transformer</t>
  </si>
  <si>
    <t>Generator</t>
  </si>
  <si>
    <t>Utility</t>
  </si>
  <si>
    <t>Hz</t>
  </si>
  <si>
    <t>Sub-Totals</t>
  </si>
  <si>
    <t>Harmonic multiplier</t>
  </si>
  <si>
    <t>% Ithd</t>
  </si>
  <si>
    <t>% total</t>
  </si>
  <si>
    <t>Reference Tables:</t>
  </si>
  <si>
    <t>column no</t>
  </si>
  <si>
    <t>harm no</t>
  </si>
  <si>
    <t>Summary Calculations</t>
  </si>
  <si>
    <t>Harm No</t>
  </si>
  <si>
    <t>h</t>
  </si>
  <si>
    <t>Ih</t>
  </si>
  <si>
    <t xml:space="preserve">RSS = </t>
  </si>
  <si>
    <t>SS =</t>
  </si>
  <si>
    <t>Ithd, [%]</t>
  </si>
  <si>
    <t>Drive Sum</t>
  </si>
  <si>
    <t>Lin Load</t>
  </si>
  <si>
    <t>IEEE 519-2014</t>
  </si>
  <si>
    <t>Table 1</t>
  </si>
  <si>
    <t>Ithd Limit</t>
  </si>
  <si>
    <t>IEEE</t>
  </si>
  <si>
    <t>% Vthd</t>
  </si>
  <si>
    <t>kV</t>
  </si>
  <si>
    <t>Table 2</t>
  </si>
  <si>
    <t>Vthd Limit</t>
  </si>
  <si>
    <t>kV bus</t>
  </si>
  <si>
    <t>PU Load</t>
  </si>
  <si>
    <t>thd</t>
  </si>
  <si>
    <t>total</t>
  </si>
  <si>
    <t>%</t>
  </si>
  <si>
    <t>6 Pulse</t>
  </si>
  <si>
    <t xml:space="preserve">no DC </t>
  </si>
  <si>
    <t>link choke</t>
  </si>
  <si>
    <t>5% DC</t>
  </si>
  <si>
    <t>reactor</t>
  </si>
  <si>
    <t>no line</t>
  </si>
  <si>
    <t>FLA</t>
  </si>
  <si>
    <t>filter</t>
  </si>
  <si>
    <t>12 Pulse</t>
  </si>
  <si>
    <t>18 Pulse</t>
  </si>
  <si>
    <t>Arms</t>
  </si>
  <si>
    <t>% load goal</t>
  </si>
  <si>
    <t>ratio</t>
  </si>
  <si>
    <t>factor</t>
  </si>
  <si>
    <t>cable uH/m</t>
  </si>
  <si>
    <t>X source [uH]</t>
  </si>
  <si>
    <t>X source [uO]</t>
  </si>
  <si>
    <t>X xfmr [uH]</t>
  </si>
  <si>
    <t>X gen [uH]</t>
  </si>
  <si>
    <t>X cable [uH]</t>
  </si>
  <si>
    <t>X utility [uH]</t>
  </si>
  <si>
    <t>X [uO]</t>
  </si>
  <si>
    <t>Vsource</t>
  </si>
  <si>
    <t>Vutility</t>
  </si>
  <si>
    <t>X utility [uO]</t>
  </si>
  <si>
    <t>xfmr E1/E2</t>
  </si>
  <si>
    <t>Vharm</t>
  </si>
  <si>
    <t>Vfund</t>
  </si>
  <si>
    <t>Vtotal</t>
  </si>
  <si>
    <t>N=Ih/rss</t>
  </si>
  <si>
    <t>N*h</t>
  </si>
  <si>
    <t>K-Factor</t>
  </si>
  <si>
    <t>=K-Factor</t>
  </si>
  <si>
    <t>% of V1</t>
  </si>
  <si>
    <t>% of I1</t>
  </si>
  <si>
    <t>Ih [%]</t>
  </si>
  <si>
    <t>Vh [%]</t>
  </si>
  <si>
    <t>Harmonic [A]</t>
  </si>
  <si>
    <t>Harmonic [V]</t>
  </si>
  <si>
    <t>Plotting Info</t>
  </si>
  <si>
    <t>Ih %</t>
  </si>
  <si>
    <t>Vh %</t>
  </si>
  <si>
    <t>Determine Utility [MVAsc] from R and X</t>
  </si>
  <si>
    <t>R =</t>
  </si>
  <si>
    <t xml:space="preserve">X = </t>
  </si>
  <si>
    <t>Ohms</t>
  </si>
  <si>
    <t xml:space="preserve">Z = </t>
  </si>
  <si>
    <t>Volts</t>
  </si>
  <si>
    <t>Isc =</t>
  </si>
  <si>
    <t>Amps</t>
  </si>
  <si>
    <t>MVAsc =</t>
  </si>
  <si>
    <t>kVAR</t>
  </si>
  <si>
    <t>Constants Used</t>
  </si>
  <si>
    <t>source X</t>
  </si>
  <si>
    <t>rated hp</t>
  </si>
  <si>
    <t>actual hp</t>
  </si>
  <si>
    <t>Ifilter at no load, 100hp</t>
  </si>
  <si>
    <t>Ireact at 0pu</t>
  </si>
  <si>
    <t>Ireact at 1pu</t>
  </si>
  <si>
    <t>Ireact at xpu</t>
  </si>
  <si>
    <t>Ifund at xpu</t>
  </si>
  <si>
    <t>Ifund at 1pu</t>
  </si>
  <si>
    <t>Ireal at 1pu</t>
  </si>
  <si>
    <t>Ireal at xpu</t>
  </si>
  <si>
    <t>Iharm at xpu</t>
  </si>
  <si>
    <t>Itotal at xpu</t>
  </si>
  <si>
    <t>Ithd at xpu</t>
  </si>
  <si>
    <t>Ireact, [A]</t>
  </si>
  <si>
    <t>Drive Selection</t>
  </si>
  <si>
    <t>Linear Load</t>
  </si>
  <si>
    <t>80% Load</t>
  </si>
  <si>
    <t>70% Load</t>
  </si>
  <si>
    <t>PCC IEEE-2014</t>
  </si>
  <si>
    <t>No Assumptions</t>
  </si>
  <si>
    <t>All non-drive loading is assumed to be linear loading.</t>
  </si>
  <si>
    <t>Harmonic analysis assumes the MV to LV step down transformer is 80% loaded under peak loading.</t>
  </si>
  <si>
    <t>Harmonic analysis assumes the MV to LV step down transformer is 70% loaded under peak loading.</t>
  </si>
  <si>
    <t>Harmonic analysis assumes the MV to LV step down transformer impedance to be approximately 5.75%</t>
  </si>
  <si>
    <t>There were no assumptions made, as all required information was provided to ABB</t>
  </si>
  <si>
    <t>PF disp</t>
  </si>
  <si>
    <t>Ireal</t>
  </si>
  <si>
    <t>Ireact</t>
  </si>
  <si>
    <t>Pin rated, [kW]</t>
  </si>
  <si>
    <t>Pin actual [kW]</t>
  </si>
  <si>
    <t>Ireal rated, [A]</t>
  </si>
  <si>
    <t>Ireal actual, [A]</t>
  </si>
  <si>
    <t>Quick View</t>
  </si>
  <si>
    <t>Primary side of xfmr</t>
  </si>
  <si>
    <t>PF</t>
  </si>
  <si>
    <t>If you don't know the value, use 400 as a default.</t>
  </si>
  <si>
    <t>1 react</t>
  </si>
  <si>
    <t>1 real</t>
  </si>
  <si>
    <t>1 fund</t>
  </si>
  <si>
    <t>subtotal</t>
  </si>
  <si>
    <t>kVAD</t>
  </si>
  <si>
    <t>% of I1 fund</t>
  </si>
  <si>
    <t>Secondary side of xfmr</t>
  </si>
  <si>
    <t>Source:</t>
  </si>
  <si>
    <t>Source Selected</t>
  </si>
  <si>
    <t>PCC for Itdd</t>
  </si>
  <si>
    <t>PCC for Vthd</t>
  </si>
  <si>
    <t>XFMR Pri</t>
  </si>
  <si>
    <t>XFMR Sec</t>
  </si>
  <si>
    <t>GEN Bus</t>
  </si>
  <si>
    <t>X xfmr [uO]</t>
  </si>
  <si>
    <t>A goal</t>
  </si>
  <si>
    <t>X gen [uO]</t>
  </si>
  <si>
    <t>Isc, [kA]</t>
  </si>
  <si>
    <t>Generator bus</t>
  </si>
  <si>
    <t>Drive Source</t>
  </si>
  <si>
    <t>Source [uH]</t>
  </si>
  <si>
    <t>Source [uO]</t>
  </si>
  <si>
    <t>Source for Drives</t>
  </si>
  <si>
    <t>PCC2</t>
  </si>
  <si>
    <t>PCC1</t>
  </si>
  <si>
    <t>K-Factor at PCC2</t>
  </si>
  <si>
    <t>goal on sec</t>
  </si>
  <si>
    <t>% actual</t>
  </si>
  <si>
    <t>Report Info</t>
  </si>
  <si>
    <t>Vh</t>
  </si>
  <si>
    <t>TDD</t>
  </si>
  <si>
    <t>vTHD</t>
  </si>
  <si>
    <t>IEEE Limits</t>
  </si>
  <si>
    <t>Project ID:</t>
  </si>
  <si>
    <t>Project Name:</t>
  </si>
  <si>
    <t>Contact:</t>
  </si>
  <si>
    <t>Contact Email:</t>
  </si>
  <si>
    <t>Created by:</t>
  </si>
  <si>
    <t>Created by Email:</t>
  </si>
  <si>
    <t>TDD [%]</t>
  </si>
  <si>
    <t>vTHD [%]</t>
  </si>
  <si>
    <t>TDD OK?</t>
  </si>
  <si>
    <t>PCC for TDD</t>
  </si>
  <si>
    <t>6 Pulse w/ 3% DC Choke</t>
  </si>
  <si>
    <t>6 Pulse w/ 5% DC Choke</t>
  </si>
  <si>
    <t>Filter Selection</t>
  </si>
  <si>
    <t>1.5% AC Reactor</t>
  </si>
  <si>
    <t>2.5% AC Reactor</t>
  </si>
  <si>
    <t>3% AC Reactor</t>
  </si>
  <si>
    <t>5% AC Reactor</t>
  </si>
  <si>
    <t>7% AC Reactor</t>
  </si>
  <si>
    <t>10% AC Reactor</t>
  </si>
  <si>
    <t>ACS800/ACH580 ULH (AFE)</t>
  </si>
  <si>
    <t>Drive</t>
  </si>
  <si>
    <t>Filter</t>
  </si>
  <si>
    <t>Rated HP</t>
  </si>
  <si>
    <t>Notes:</t>
  </si>
  <si>
    <t>Rated Power [kW]</t>
  </si>
  <si>
    <t>Power Factor</t>
  </si>
  <si>
    <t>Apparent Power [kVA]</t>
  </si>
  <si>
    <t>Output Voltage [V]</t>
  </si>
  <si>
    <t>Secondary Voltage [V]</t>
  </si>
  <si>
    <t>Impedance [% Z]</t>
  </si>
  <si>
    <t>% Loaded</t>
  </si>
  <si>
    <t>6 Pulse w/ No Impedance</t>
  </si>
  <si>
    <t>Rated kVA [kVA]</t>
  </si>
  <si>
    <t>Value</t>
  </si>
  <si>
    <t>XFMR     Sec</t>
  </si>
  <si>
    <t>Utility    Feed</t>
  </si>
  <si>
    <t>TDD Limit [%]</t>
  </si>
  <si>
    <t>Sub-Transient Reactance [Xd"]</t>
  </si>
  <si>
    <t>Worksheets</t>
  </si>
  <si>
    <t>Color Key</t>
  </si>
  <si>
    <t>Cell for data input (not locked)</t>
  </si>
  <si>
    <t>Cell with calculated data (locked)</t>
  </si>
  <si>
    <t>Cell with drop-down selection</t>
  </si>
  <si>
    <t>Cell with data or text (locked)</t>
  </si>
  <si>
    <t>Cell that is disabled</t>
  </si>
  <si>
    <t>enter this value into "Utility [MVAsc]" cell H6</t>
  </si>
  <si>
    <t>Utility [V] =</t>
  </si>
  <si>
    <t>The point of common coupling (PCC) was chosen based on IEEE 519-2014.  The TDD (current) was calculated on the primary (utility) side of the transformer.  The vTHD (voltage), while not included in IEEE 519-2014, was calculated on the secondary (facility) side of the transformer.</t>
  </si>
  <si>
    <t>Isc / I_load at PCC</t>
  </si>
  <si>
    <t>vTHD  [%]</t>
  </si>
  <si>
    <t>IEEE TDD Limits [%]</t>
  </si>
  <si>
    <t>TDD  [%]</t>
  </si>
  <si>
    <t>Fund [A]</t>
  </si>
  <si>
    <t>Fund [V]</t>
  </si>
  <si>
    <t>Vrms</t>
  </si>
  <si>
    <t>Isc at PCC  [kA]</t>
  </si>
  <si>
    <t>For cell H6, if you know the MVAsc feeding the transformer, enter it.</t>
  </si>
  <si>
    <t>Generator Back-Up</t>
  </si>
  <si>
    <t>A01</t>
  </si>
  <si>
    <t>A02</t>
  </si>
  <si>
    <t>A03</t>
  </si>
  <si>
    <t>A04</t>
  </si>
  <si>
    <t>A05</t>
  </si>
  <si>
    <t>A06</t>
  </si>
  <si>
    <t>A07</t>
  </si>
  <si>
    <t>A08</t>
  </si>
  <si>
    <t>A09</t>
  </si>
  <si>
    <t>B01</t>
  </si>
  <si>
    <t>B02</t>
  </si>
  <si>
    <t>B03</t>
  </si>
  <si>
    <t>B04</t>
  </si>
  <si>
    <t>B05</t>
  </si>
  <si>
    <t>B06</t>
  </si>
  <si>
    <t>B07</t>
  </si>
  <si>
    <t>B08</t>
  </si>
  <si>
    <t>B09</t>
  </si>
  <si>
    <t>C01</t>
  </si>
  <si>
    <t>C02</t>
  </si>
  <si>
    <t>C03</t>
  </si>
  <si>
    <t>C04</t>
  </si>
  <si>
    <t>C05</t>
  </si>
  <si>
    <t>C06</t>
  </si>
  <si>
    <t>C07</t>
  </si>
  <si>
    <t>C08</t>
  </si>
  <si>
    <t>C09</t>
  </si>
  <si>
    <t>D01</t>
  </si>
  <si>
    <t>E01</t>
  </si>
  <si>
    <t>F01</t>
  </si>
  <si>
    <t>G01</t>
  </si>
  <si>
    <t>Drive/Filter Type</t>
  </si>
  <si>
    <t>Drive Type</t>
  </si>
  <si>
    <t>Filter Type</t>
  </si>
  <si>
    <t>B</t>
  </si>
  <si>
    <t>C</t>
  </si>
  <si>
    <t>D</t>
  </si>
  <si>
    <t>E</t>
  </si>
  <si>
    <t>F</t>
  </si>
  <si>
    <t>01</t>
  </si>
  <si>
    <t>02</t>
  </si>
  <si>
    <t>03</t>
  </si>
  <si>
    <t>04</t>
  </si>
  <si>
    <t>05</t>
  </si>
  <si>
    <t>06</t>
  </si>
  <si>
    <t>07</t>
  </si>
  <si>
    <t>08</t>
  </si>
  <si>
    <t>09</t>
  </si>
  <si>
    <t>none</t>
  </si>
  <si>
    <t>Count</t>
  </si>
  <si>
    <t>Pin rated [kW]</t>
  </si>
  <si>
    <t>Qin [kVAR]</t>
  </si>
  <si>
    <t>Sin [kVA]</t>
  </si>
  <si>
    <t>Ireal rated [A]</t>
  </si>
  <si>
    <t>Ireal actual [A]</t>
  </si>
  <si>
    <t>Ireact [A]</t>
  </si>
  <si>
    <t>Iharm [A]</t>
  </si>
  <si>
    <t>Ifund [A]</t>
  </si>
  <si>
    <t>Itotal [A]</t>
  </si>
  <si>
    <t>Ithd [%]</t>
  </si>
  <si>
    <t>x total [uH]</t>
  </si>
  <si>
    <t>Qualification Selections and Notes</t>
  </si>
  <si>
    <t>TDD Limit</t>
  </si>
  <si>
    <t>vTHD Limit</t>
  </si>
  <si>
    <t>Vbus [V]</t>
  </si>
  <si>
    <t>freq [Hz]</t>
  </si>
  <si>
    <t>total rated hp</t>
  </si>
  <si>
    <t>Meets TDD?</t>
  </si>
  <si>
    <t>GEN bus</t>
  </si>
  <si>
    <t>ULH (AFE)</t>
  </si>
  <si>
    <t>To meet TDD</t>
  </si>
  <si>
    <t>limit</t>
  </si>
  <si>
    <t>Present Iharm</t>
  </si>
  <si>
    <t>Difference</t>
  </si>
  <si>
    <t>Min I for AHF</t>
  </si>
  <si>
    <t>I_AHF</t>
  </si>
  <si>
    <t>Source Selection</t>
  </si>
  <si>
    <t>GENERATOR</t>
  </si>
  <si>
    <t>PCC Selection</t>
  </si>
  <si>
    <t>extra</t>
  </si>
  <si>
    <t>Power Details</t>
  </si>
  <si>
    <t>Drive Loading Details</t>
  </si>
  <si>
    <t xml:space="preserve">     Please note that the information shown here is typical and does not constitute any guarantee of performance or measurement.  Several outside factors can influence the harmonics measured on a power system, including other equipment within the plant and other equipment in neighboring plants.  This can include, but is not limited to - drives, varying loads and/or other factory equipment.  
    The calculated current and voltage harmonics shown in this report are for estimation purposes only.
</t>
  </si>
  <si>
    <t>ABB is pleased to inform you that the harmonic analysis shows that the system meets the IEEE 519-2014 Total Demand Distortion (TDD) limit at the PCC.</t>
  </si>
  <si>
    <t>actual HP</t>
  </si>
  <si>
    <t>F00</t>
  </si>
  <si>
    <t>E00</t>
  </si>
  <si>
    <t>D00</t>
  </si>
  <si>
    <t>C00</t>
  </si>
  <si>
    <t>B00</t>
  </si>
  <si>
    <t>A00</t>
  </si>
  <si>
    <t>Column A</t>
  </si>
  <si>
    <t>No Harmonic Data:  Non-realistic Drive/Filter combination</t>
  </si>
  <si>
    <t xml:space="preserve">If you are given the positive sequence R and X values, enter them into cells M24 and M25 respectively.  </t>
  </si>
  <si>
    <t>The value found in cell M30 should then be entered in to H6.</t>
  </si>
  <si>
    <t>The value found in cell M37 should then be entered into H6.</t>
  </si>
  <si>
    <t>3% DC</t>
  </si>
  <si>
    <t>PF disp at Rsc = 30</t>
  </si>
  <si>
    <t>Report Information</t>
  </si>
  <si>
    <t>X/R =</t>
  </si>
  <si>
    <t>12 Pulse Drive</t>
  </si>
  <si>
    <t>18 Pulse Drive</t>
  </si>
  <si>
    <t>TCI HG7 Filter</t>
  </si>
  <si>
    <t>MTE Matrix Filter</t>
  </si>
  <si>
    <t>X</t>
  </si>
  <si>
    <t>D02</t>
  </si>
  <si>
    <t>D03</t>
  </si>
  <si>
    <t>D04</t>
  </si>
  <si>
    <t>D05</t>
  </si>
  <si>
    <t>D06</t>
  </si>
  <si>
    <t>D07</t>
  </si>
  <si>
    <t>D08</t>
  </si>
  <si>
    <t>D09</t>
  </si>
  <si>
    <t>E02</t>
  </si>
  <si>
    <t>E03</t>
  </si>
  <si>
    <t>E04</t>
  </si>
  <si>
    <t>E05</t>
  </si>
  <si>
    <t>E06</t>
  </si>
  <si>
    <t>E07</t>
  </si>
  <si>
    <t>E08</t>
  </si>
  <si>
    <t>E09</t>
  </si>
  <si>
    <t>F02</t>
  </si>
  <si>
    <t>F03</t>
  </si>
  <si>
    <t>F04</t>
  </si>
  <si>
    <t>F05</t>
  </si>
  <si>
    <t>F06</t>
  </si>
  <si>
    <t>F07</t>
  </si>
  <si>
    <t>F08</t>
  </si>
  <si>
    <t>F09</t>
  </si>
  <si>
    <t>MTE Matrix Filter, I_NL</t>
  </si>
  <si>
    <t>TCI HG7 Filter, I_NL</t>
  </si>
  <si>
    <t>A @ 100hp</t>
  </si>
  <si>
    <t>System Values</t>
  </si>
  <si>
    <t>Drive row</t>
  </si>
  <si>
    <t>1.5% AC</t>
  </si>
  <si>
    <t>2.5% AC</t>
  </si>
  <si>
    <t>3% AC</t>
  </si>
  <si>
    <t>5% AC</t>
  </si>
  <si>
    <t>7% AC</t>
  </si>
  <si>
    <t>10% AC</t>
  </si>
  <si>
    <t>Ifilter at no load, rated hp</t>
  </si>
  <si>
    <t>Relationships among worksheets</t>
  </si>
  <si>
    <t>Sum</t>
  </si>
  <si>
    <t>N</t>
  </si>
  <si>
    <t>Code</t>
  </si>
  <si>
    <t>Row</t>
  </si>
  <si>
    <t>Column</t>
  </si>
  <si>
    <t>G</t>
  </si>
  <si>
    <t>H</t>
  </si>
  <si>
    <t>I</t>
  </si>
  <si>
    <t>J</t>
  </si>
  <si>
    <t>K</t>
  </si>
  <si>
    <t>L</t>
  </si>
  <si>
    <t>M</t>
  </si>
  <si>
    <t>O</t>
  </si>
  <si>
    <t>P</t>
  </si>
  <si>
    <t>Q</t>
  </si>
  <si>
    <t>R</t>
  </si>
  <si>
    <t>S</t>
  </si>
  <si>
    <t>T</t>
  </si>
  <si>
    <t>U</t>
  </si>
  <si>
    <t>W</t>
  </si>
  <si>
    <t>Y</t>
  </si>
  <si>
    <t>Z</t>
  </si>
  <si>
    <t>AA</t>
  </si>
  <si>
    <t>AB</t>
  </si>
  <si>
    <t>AC</t>
  </si>
  <si>
    <t>AD</t>
  </si>
  <si>
    <t>ULH Drive</t>
  </si>
  <si>
    <t>AE</t>
  </si>
  <si>
    <t>A01 to A07 Worksheets</t>
  </si>
  <si>
    <t>Cell on sheet Ann</t>
  </si>
  <si>
    <t>C1</t>
  </si>
  <si>
    <t>AZ</t>
  </si>
  <si>
    <t>H4</t>
  </si>
  <si>
    <t>AQ</t>
  </si>
  <si>
    <t xml:space="preserve">PU Load  </t>
  </si>
  <si>
    <t>J1</t>
  </si>
  <si>
    <t>N1</t>
  </si>
  <si>
    <t>fixed number</t>
  </si>
  <si>
    <t>A08, A09 Worksheets</t>
  </si>
  <si>
    <t>H1</t>
  </si>
  <si>
    <t>J17</t>
  </si>
  <si>
    <t>J18</t>
  </si>
  <si>
    <t>J4</t>
  </si>
  <si>
    <t>J5</t>
  </si>
  <si>
    <t>J7</t>
  </si>
  <si>
    <t>N36 for TCI, N37 for MTE</t>
  </si>
  <si>
    <t>J14</t>
  </si>
  <si>
    <t>AM</t>
  </si>
  <si>
    <t>calc</t>
  </si>
  <si>
    <t>Sum Worksheet</t>
  </si>
  <si>
    <t>row on sheet Sum</t>
  </si>
  <si>
    <t>From:</t>
  </si>
  <si>
    <t>AN</t>
  </si>
  <si>
    <t>AO</t>
  </si>
  <si>
    <t>Ann</t>
  </si>
  <si>
    <t>2 to 50</t>
  </si>
  <si>
    <t>7 to 55</t>
  </si>
  <si>
    <t>H5 to H53</t>
  </si>
  <si>
    <t>Drives Worksheet</t>
  </si>
  <si>
    <t>column on sheet Drives</t>
  </si>
  <si>
    <t>AG</t>
  </si>
  <si>
    <t>J12</t>
  </si>
  <si>
    <t>AP</t>
  </si>
  <si>
    <t>H55</t>
  </si>
  <si>
    <t>total Iharm</t>
  </si>
  <si>
    <t>AP3</t>
  </si>
  <si>
    <t>AF107</t>
  </si>
  <si>
    <t>Rsc</t>
  </si>
  <si>
    <t>Din [kVAD]</t>
  </si>
  <si>
    <t>Din, [kVAD]</t>
  </si>
  <si>
    <t>From :</t>
  </si>
  <si>
    <t>Harm Mult</t>
  </si>
  <si>
    <t>linear load pf</t>
  </si>
  <si>
    <t>Notes</t>
  </si>
  <si>
    <t>Date</t>
  </si>
  <si>
    <t>Now, 1000hp for a drive = 1093.052A, similar to version 5.1 that has 1094.3A for every type of drive/filter combination</t>
  </si>
  <si>
    <t>V5.1 TDD now matches 170503 TDD</t>
  </si>
  <si>
    <t>On F01, harmonics are % of fundamental, not Arms</t>
  </si>
  <si>
    <t>For a 1.00% impedance system base, use the following:</t>
  </si>
  <si>
    <t>In Drives:  changed motor eff from 0.94 to 0.93, drive eff from 0.975 to 0.970</t>
  </si>
  <si>
    <t>PF disp for each combination is now set to 0.910 as found in Drives, column AG</t>
  </si>
  <si>
    <t>In Axx,Bxx,Cxx,Dxx,Exx,Fxx:  changed PF to 0.910</t>
  </si>
  <si>
    <t>Obtained additional harmonics from 5.1 for all tables by setting up various configurations and grabbing column AA on %TDD tab</t>
  </si>
  <si>
    <t>added Generator % Loaded variable in Drives N42</t>
  </si>
  <si>
    <t xml:space="preserve">Linked this to the Power W35 </t>
  </si>
  <si>
    <t>Fixed error in Power W17</t>
  </si>
  <si>
    <t>PF tot</t>
  </si>
  <si>
    <t>Fixed error in Power E18</t>
  </si>
  <si>
    <t>Noted PF tot in Power row 15</t>
  </si>
  <si>
    <t>Transformer Linear Load</t>
  </si>
  <si>
    <t>Generator Linear Load</t>
  </si>
  <si>
    <t>Rearranged Power rows 15-18</t>
  </si>
  <si>
    <t>LV Drives Harmonic Estimator Instructions</t>
  </si>
  <si>
    <t>Moved Constants table from Drives to Instructions - a sheet that will not be hidden</t>
  </si>
  <si>
    <t>at the drive</t>
  </si>
  <si>
    <t>Added note in Drives AY3</t>
  </si>
  <si>
    <t>Added in Input R8 info from Input H67 (AHF current)</t>
  </si>
  <si>
    <t>This is to help match the TDD with 5.1</t>
  </si>
  <si>
    <t>Added defaults for constants in Instructions</t>
  </si>
  <si>
    <t>Input cable, ft</t>
  </si>
  <si>
    <t>Added diagrams in Instructions</t>
  </si>
  <si>
    <t>pw = 314159</t>
  </si>
  <si>
    <t>6 Pulse w/ 3% Impedance</t>
  </si>
  <si>
    <t>6 Pulse w/ 5% Impedance</t>
  </si>
  <si>
    <t>ULH (AFE) Drive</t>
  </si>
  <si>
    <t>Additional Filter</t>
  </si>
  <si>
    <t>My notes for changes include:</t>
  </si>
  <si>
    <t>1)</t>
  </si>
  <si>
    <t xml:space="preserve">Worksheet areas on the input tab for:  </t>
  </si>
  <si>
    <t>a.</t>
  </si>
  <si>
    <t>b.</t>
  </si>
  <si>
    <t>c.</t>
  </si>
  <si>
    <t>d.</t>
  </si>
  <si>
    <t>2)</t>
  </si>
  <si>
    <t>3)</t>
  </si>
  <si>
    <t>Change % Loaded for generator to 100%  - done</t>
  </si>
  <si>
    <t>4)</t>
  </si>
  <si>
    <t>Note that the Positive Sequence Isc is at the transformer primary - done</t>
  </si>
  <si>
    <t>5)</t>
  </si>
  <si>
    <t>6)</t>
  </si>
  <si>
    <t>Note transformer thermal loading</t>
  </si>
  <si>
    <t>7)</t>
  </si>
  <si>
    <t>8)</t>
  </si>
  <si>
    <t>9)</t>
  </si>
  <si>
    <t>10)</t>
  </si>
  <si>
    <t>11)</t>
  </si>
  <si>
    <t>12)</t>
  </si>
  <si>
    <t>13)</t>
  </si>
  <si>
    <t>Create a "REPORT" tab with the following data</t>
  </si>
  <si>
    <t>i.</t>
  </si>
  <si>
    <t>ii.</t>
  </si>
  <si>
    <t>iii.</t>
  </si>
  <si>
    <t>iv.</t>
  </si>
  <si>
    <t>v.</t>
  </si>
  <si>
    <t>vi.</t>
  </si>
  <si>
    <t xml:space="preserve">Page 3 has </t>
  </si>
  <si>
    <t>Change "Filter" column to "Additional Filter" - done</t>
  </si>
  <si>
    <t>For the drive names, replace "DC Choke" with "Impedance" - done</t>
  </si>
  <si>
    <t>For the ULH drive, call it "ULH (AFE) Drive" - done</t>
  </si>
  <si>
    <t>For the filter names, replace "TCI HG7 Filter" with "7% THDi Filter" - done</t>
  </si>
  <si>
    <t>For the filter names, replace "MTE Matrix Filter" with "5% THDi Filter" - done</t>
  </si>
  <si>
    <t>Per meeting today:</t>
  </si>
  <si>
    <t>14)</t>
  </si>
  <si>
    <t>Have MARCOMM review for logo, colors, etc</t>
  </si>
  <si>
    <t>15)</t>
  </si>
  <si>
    <t>PF of lin load</t>
  </si>
  <si>
    <t>Ireact delta</t>
  </si>
  <si>
    <t>Ireal goal</t>
  </si>
  <si>
    <t>Itotal goal</t>
  </si>
  <si>
    <t>Ireal adder</t>
  </si>
  <si>
    <t>Ireal delta</t>
  </si>
  <si>
    <t>Ireact goal</t>
  </si>
  <si>
    <t>Ireact adder</t>
  </si>
  <si>
    <t>kVA load goal</t>
  </si>
  <si>
    <t>QF</t>
  </si>
  <si>
    <t>kW/kVA</t>
  </si>
  <si>
    <t>kVAR/kVA</t>
  </si>
  <si>
    <t>= Irated</t>
  </si>
  <si>
    <t>J2</t>
  </si>
  <si>
    <t>J24</t>
  </si>
  <si>
    <t>eqn</t>
  </si>
  <si>
    <t>7% THDi</t>
  </si>
  <si>
    <t>5% THDi</t>
  </si>
  <si>
    <t>HP</t>
  </si>
  <si>
    <t>Determine Rated HP from Motor kW</t>
  </si>
  <si>
    <t>Motor kW =</t>
  </si>
  <si>
    <t>Motor V =</t>
  </si>
  <si>
    <t>Rated HP =</t>
  </si>
  <si>
    <t xml:space="preserve">Motor FLA = </t>
  </si>
  <si>
    <t xml:space="preserve">Rated HP = </t>
  </si>
  <si>
    <t>Design Checks:</t>
  </si>
  <si>
    <t xml:space="preserve">The top left box provides background information on the </t>
  </si>
  <si>
    <t>Short-circuit current (Isc) and the short-circuit MVA (MVAsc) available at the</t>
  </si>
  <si>
    <t>Input and the output of the transformer when "UTILITY" is selected.</t>
  </si>
  <si>
    <t>Or, it will show the Isc and MVAsc at the output of the generator when</t>
  </si>
  <si>
    <t>"GENERATOR" is selected.</t>
  </si>
  <si>
    <t>Worksheets Notes</t>
  </si>
  <si>
    <t>Determine Utility [MVAsc] from Positive Sequence Isc at xfmr primary</t>
  </si>
  <si>
    <t>at the transformer primary.</t>
  </si>
  <si>
    <t>for the drive ratings.</t>
  </si>
  <si>
    <t>changed 12P table to be same from 10%Z and higher</t>
  </si>
  <si>
    <t xml:space="preserve">The "Qual Notes" tab is where you can modify or re-word the qualifications </t>
  </si>
  <si>
    <t>The "Report" tab provides a summary of the results than can be printed as a PDF.</t>
  </si>
  <si>
    <t>Source Details</t>
  </si>
  <si>
    <t>MVAsc at PCC</t>
  </si>
  <si>
    <t>Load Details</t>
  </si>
  <si>
    <t>The point of common coupling (PCC) was chosen to be the generator bus, with 100% loading on the generator and a max TDD of 5%.</t>
  </si>
  <si>
    <t>Location for vTHD</t>
  </si>
  <si>
    <t>Special Note 1</t>
  </si>
  <si>
    <t>Special Note 2</t>
  </si>
  <si>
    <t>Special Note 3</t>
  </si>
  <si>
    <t>Special Note 4</t>
  </si>
  <si>
    <t>Special Note 5</t>
  </si>
  <si>
    <t>Qualifying Statements and Notes</t>
  </si>
  <si>
    <t>Harmonic Estimation Summary Report / 2</t>
  </si>
  <si>
    <t>Harmonic Estimation Summary Report / 1</t>
  </si>
  <si>
    <t>Harmonic Estimation Summary Report / 3</t>
  </si>
  <si>
    <t>Harmonic Estimation Summary Report / 4</t>
  </si>
  <si>
    <t>created Report tab</t>
  </si>
  <si>
    <t>in-cell dropdown</t>
  </si>
  <si>
    <t>special features used:  (see Excel Help)</t>
  </si>
  <si>
    <t>data validation</t>
  </si>
  <si>
    <t>My unique set of notes.</t>
  </si>
  <si>
    <t>not planning on this</t>
  </si>
  <si>
    <t>conditional formatting</t>
  </si>
  <si>
    <t>fixed Report E18</t>
  </si>
  <si>
    <t>fixed conditional formatting in Input columns G,H</t>
  </si>
  <si>
    <t xml:space="preserve">The kW values (P) are summed. </t>
  </si>
  <si>
    <t>The kVAR values (Q) are summed.</t>
  </si>
  <si>
    <t xml:space="preserve">The distortion kVAR values (D) are summed.  </t>
  </si>
  <si>
    <t>Those are then vectorially summed to give a total kVA value (S).</t>
  </si>
  <si>
    <t>S = sqrt(P^2 + Q^2 + D^2)</t>
  </si>
  <si>
    <t>added info in Instructions regarding kVA summation</t>
  </si>
  <si>
    <t>Called this "LV Harm Est 170713R"</t>
  </si>
  <si>
    <t>File with harmonics p/w is called "LV Harm Est 170713P"</t>
  </si>
  <si>
    <t>Add more empty cells for special qualifying notes - done</t>
  </si>
  <si>
    <t>kW to hp conversion - done</t>
  </si>
  <si>
    <t>Amps and volts to hp conversion - done</t>
  </si>
  <si>
    <t>Tons of chiller to hp conversion - done</t>
  </si>
  <si>
    <t>Generator data to MVAsc conversion - in the report</t>
  </si>
  <si>
    <t>Create the harmonic table for the TCI HGP filter and use that for the "5% THDi Filter" data - done</t>
  </si>
  <si>
    <t>Be able to use the harmonic tables at less than 100% load - done</t>
  </si>
  <si>
    <t>Diagrams (if possible) - both shown for now</t>
  </si>
  <si>
    <t xml:space="preserve">Page 2 has </t>
  </si>
  <si>
    <t>VFD schedule with columns B through I - done</t>
  </si>
  <si>
    <t>Page 1 has</t>
  </si>
  <si>
    <t>Header information - done</t>
  </si>
  <si>
    <t>Source information - done</t>
  </si>
  <si>
    <t>Harmonic results and statement (pass/fail) - done</t>
  </si>
  <si>
    <t>Qualifying statements - done</t>
  </si>
  <si>
    <t>AHF information if used - done</t>
  </si>
  <si>
    <t>Current and Voltage harmonic spectrum graphs - done</t>
  </si>
  <si>
    <t>Set password to :  harmonics - done</t>
  </si>
  <si>
    <t>Why does total kVA not match the %?  Input cell P19 - done</t>
  </si>
  <si>
    <t>correct 12 pulse harmonics - done</t>
  </si>
  <si>
    <t>Harmonic Results</t>
  </si>
  <si>
    <t>Design Checks</t>
  </si>
  <si>
    <t>PCC location for TDD</t>
  </si>
  <si>
    <t>170801</t>
  </si>
  <si>
    <t>Modified Report layout</t>
  </si>
  <si>
    <t xml:space="preserve">The Total Demand Distortion (TDD CURRENT) is  </t>
  </si>
  <si>
    <t>The Total Harmonic Distortion (VOLTAGE) is</t>
  </si>
  <si>
    <t>Harmonic System Details</t>
  </si>
  <si>
    <t>For this system, IEEE 519 allows TDD CURRENT up to</t>
  </si>
  <si>
    <t>Page 1 is a summary including the Harmonic Results</t>
  </si>
  <si>
    <t>Page 2 is a listing of the drives that were considered in the system</t>
  </si>
  <si>
    <t xml:space="preserve">Any of the pages can be printed to the "Adobe PDF" printer that will create a PDF  </t>
  </si>
  <si>
    <t>file that can then be shared with a customer or user.</t>
  </si>
  <si>
    <t>AC Drives</t>
  </si>
  <si>
    <t>Drive System</t>
  </si>
  <si>
    <t>Linear
Loads</t>
  </si>
  <si>
    <t>changed filters to note 7% THDi Filter and 5% THDi Filter</t>
  </si>
  <si>
    <t>Jesse Stark made the report diagrams dynamic</t>
  </si>
  <si>
    <t>Fixed a few items in Instructions</t>
  </si>
  <si>
    <t>7% THDi Filter, no load amps</t>
  </si>
  <si>
    <t>5% THDi Filter, no load amps</t>
  </si>
  <si>
    <t xml:space="preserve">The following Drive/Filter combinations are not considered to be realistic drive systems, </t>
  </si>
  <si>
    <t>Custom</t>
  </si>
  <si>
    <t>G02</t>
  </si>
  <si>
    <t>G03</t>
  </si>
  <si>
    <t>G04</t>
  </si>
  <si>
    <t>G05</t>
  </si>
  <si>
    <t>G06</t>
  </si>
  <si>
    <t>G07</t>
  </si>
  <si>
    <t>G08</t>
  </si>
  <si>
    <t>G09</t>
  </si>
  <si>
    <t>Custom System</t>
  </si>
  <si>
    <t>System</t>
  </si>
  <si>
    <t>Sum column</t>
  </si>
  <si>
    <t>Data from</t>
  </si>
  <si>
    <t>If delta/wye</t>
  </si>
  <si>
    <t>(Y/N)</t>
  </si>
  <si>
    <t>Multiplier</t>
  </si>
  <si>
    <t xml:space="preserve">Copy of </t>
  </si>
  <si>
    <t>column</t>
  </si>
  <si>
    <t>values</t>
  </si>
  <si>
    <t>Currents</t>
  </si>
  <si>
    <t>Transferred to</t>
  </si>
  <si>
    <t>AF</t>
  </si>
  <si>
    <t>Other Values for Drives row 78</t>
  </si>
  <si>
    <t>Copy of above</t>
  </si>
  <si>
    <t>Pri cur</t>
  </si>
  <si>
    <t>multiplier</t>
  </si>
  <si>
    <t>Transformer primary voltage</t>
  </si>
  <si>
    <t>Transformer secondary voltage</t>
  </si>
  <si>
    <t>Transformer primary current mult</t>
  </si>
  <si>
    <t xml:space="preserve">Values </t>
  </si>
  <si>
    <t>transferred to Drives row 78</t>
  </si>
  <si>
    <t>currents at primary of second transformer</t>
  </si>
  <si>
    <t>Added G01 as custom harmonic information</t>
  </si>
  <si>
    <t>a second xfmr on secondary of the main xfmr</t>
  </si>
  <si>
    <t>includes drive and lin load data</t>
  </si>
  <si>
    <t>Power column B</t>
  </si>
  <si>
    <t xml:space="preserve">Be sure to change the % Loaded on the Input tab by adding the </t>
  </si>
  <si>
    <t>kVA for linear loads on Custom System</t>
  </si>
  <si>
    <t>= total kVA for linear loads on system with custom system</t>
  </si>
  <si>
    <t>+kVA for linear loads on system without custom system</t>
  </si>
  <si>
    <t>170808x</t>
  </si>
  <si>
    <t>on input tab, shows 2 decimal places for hp</t>
  </si>
  <si>
    <t>170828</t>
  </si>
  <si>
    <t>hid the custom harmonic tab</t>
  </si>
  <si>
    <t>Lists that are used:</t>
  </si>
  <si>
    <t>Drive_Sel</t>
  </si>
  <si>
    <t>Filter_Sel</t>
  </si>
  <si>
    <t>PCC_Sel</t>
  </si>
  <si>
    <t>Qual_Notes</t>
  </si>
  <si>
    <t>Source_Sel</t>
  </si>
  <si>
    <t>TDD_Sel</t>
  </si>
  <si>
    <t>Date:</t>
  </si>
  <si>
    <t>Revision:</t>
  </si>
  <si>
    <t>changed wording from % Loaded to Max XFMR Load [%]</t>
  </si>
  <si>
    <t>Reordered and updated the Instructions</t>
  </si>
  <si>
    <t>Utility Input Power Instructions</t>
  </si>
  <si>
    <t>Step #</t>
  </si>
  <si>
    <t>In cell H4, select  "UTILITY" as the power source from the drop-down.</t>
  </si>
  <si>
    <t>In cell H12, you can select either "XFMR Pri" or "XFMR Sec" as the PCC location for TDD calculations from the drop-down.</t>
  </si>
  <si>
    <t xml:space="preserve">If you are given the symmetrical Isc value, enter it into cell M34.  </t>
  </si>
  <si>
    <t>IEEE 519-2014 specifies the primary side of the transformer, which is the default.</t>
  </si>
  <si>
    <t>Generator Input Power Instructions</t>
  </si>
  <si>
    <t>In cell H4, select  "GENERATOR" as the power source from the drop-down.</t>
  </si>
  <si>
    <t>In cell J4, enter the System Freq [Hz].  Typically this would be 60.</t>
  </si>
  <si>
    <t>In cell H5, enter the Utility [V] voltage feeding the transformer primary that supplies the voltage to the drives.</t>
  </si>
  <si>
    <t>If you don't know the value, use 13800 as a default.</t>
  </si>
  <si>
    <t>In cell H7, if there is an ID Tag number for the transformer, enter that.  If not, you may leave this blank.</t>
  </si>
  <si>
    <t>In cell H8, enter the kVA rating of the transfomrer.  If the transformer has multiple kVA ratings, use the smallest value.</t>
  </si>
  <si>
    <t xml:space="preserve">In cell H9, enter the secondary voltage of the transformer. </t>
  </si>
  <si>
    <t xml:space="preserve">In cell H10, enter the %Z of the transformer.  This is usually noted on the transformer nameplate or from </t>
  </si>
  <si>
    <t>a one-line diagram.  If unknown, use 5.75 as a default.</t>
  </si>
  <si>
    <t>4a</t>
  </si>
  <si>
    <t>4b</t>
  </si>
  <si>
    <t>4c</t>
  </si>
  <si>
    <t>4d</t>
  </si>
  <si>
    <t>In cell J5, if there is an ID Tag number for the generator enter that.  If not, you may leave this blank.</t>
  </si>
  <si>
    <t xml:space="preserve">In cell J6, enter the kW rating of the generator.  </t>
  </si>
  <si>
    <t>In cell J7, enter the power factor rating of the generator.  The default is 0.8.</t>
  </si>
  <si>
    <t xml:space="preserve">In cell J9, enter the secondary voltage of the generator. </t>
  </si>
  <si>
    <t>Cell J8 calculates the rated kVA of the generator, which is the kW rating / PF rating = (J6/J7)</t>
  </si>
  <si>
    <t xml:space="preserve">In cell J10, enter the Sub-Transient Reactance of the generator, also given as Xd".   </t>
  </si>
  <si>
    <t>This information should be available from the generator data sheet.</t>
  </si>
  <si>
    <t>Variable Frequency Drive List</t>
  </si>
  <si>
    <t xml:space="preserve">It could also refer to a group of like drives (same drive type and filter).  </t>
  </si>
  <si>
    <t>For that, sum the HP ratings and enter that value.</t>
  </si>
  <si>
    <t>select the filter type from the drop-down list.</t>
  </si>
  <si>
    <t>The drive types that are available are:</t>
  </si>
  <si>
    <t>The types of filters that are available are:</t>
  </si>
  <si>
    <t>and the total rated HP would be the value in this cell.</t>
  </si>
  <si>
    <t>The default value is 100%.</t>
  </si>
  <si>
    <t>The default value is 32.8 feet (10 meters).</t>
  </si>
  <si>
    <t>This default value can be changed in the Adjustable Program Constants table below.</t>
  </si>
  <si>
    <t>Adjustable Program Constants</t>
  </si>
  <si>
    <t>If a drive/filter combination is not allowed, the cell will turn red</t>
  </si>
  <si>
    <t>See the setion "Drive/Filter Combinations Not Allowed" below for that list</t>
  </si>
  <si>
    <t>Drive/Filter Combinations Not Allowed</t>
  </si>
  <si>
    <t>and are not implemented.  If selected, an "X" will show up in Column A of the Input sheet (col C on this sheet),</t>
  </si>
  <si>
    <t>and the filter and HP cells will turn red.</t>
  </si>
  <si>
    <t>See the "Worksheets Notes" section below for more information.</t>
  </si>
  <si>
    <t>Quick View Notes</t>
  </si>
  <si>
    <t>Report</t>
  </si>
  <si>
    <t>Qual Notes</t>
  </si>
  <si>
    <t xml:space="preserve">NOTE:  </t>
  </si>
  <si>
    <t>If a generator is feeding the drives through a transformer, the generator becomes the utility.</t>
  </si>
  <si>
    <t>Key to cell color on Input tab</t>
  </si>
  <si>
    <t>The following instructions describe the data needed to perform an harmonic estimate of a drive system.</t>
  </si>
  <si>
    <t>motor efficiency [pu]</t>
  </si>
  <si>
    <t>drive efficiency [pu]</t>
  </si>
  <si>
    <t>input cable [ft]</t>
  </si>
  <si>
    <t>cable inductance [uH/m]</t>
  </si>
  <si>
    <t>If there are multiple drives of the same type, they can be grouped as one entry</t>
  </si>
  <si>
    <t>ABB HVAC Applications Group</t>
  </si>
  <si>
    <t>1-800-752-0696</t>
  </si>
  <si>
    <t>us-hvacappeng@abb.com</t>
  </si>
  <si>
    <t>For questions or support, please contact ABB at:</t>
  </si>
  <si>
    <t>disabled the Custom System input selection from Drive_Sel drop-down list</t>
  </si>
  <si>
    <t xml:space="preserve">REV:  </t>
  </si>
  <si>
    <t>170912P</t>
  </si>
  <si>
    <t>change contact info at bottom of instructions</t>
  </si>
  <si>
    <t>Changes made:</t>
  </si>
  <si>
    <t>removed "none" from the filter drop-down selecton</t>
  </si>
  <si>
    <t>corrected instructions rows 124, 126, 139</t>
  </si>
  <si>
    <t>Added rev number to the Instructions and input, first page, top right</t>
  </si>
  <si>
    <t>Added revision number on first page of report, bottom right</t>
  </si>
  <si>
    <t>171002P</t>
  </si>
  <si>
    <t>Removed AHF input and references in:</t>
  </si>
  <si>
    <t>Instructions</t>
  </si>
  <si>
    <t>Input</t>
  </si>
  <si>
    <t>Determine Rated HP from Motor V, FLA, eff, pf</t>
  </si>
  <si>
    <t>GEN            Bus</t>
  </si>
  <si>
    <t>Motor eff =</t>
  </si>
  <si>
    <t>Motor pf =</t>
  </si>
  <si>
    <t>added eff and pf for calc of hp in quick notes</t>
  </si>
  <si>
    <t>171019P</t>
  </si>
  <si>
    <t>Locked cells in the Report</t>
  </si>
  <si>
    <t>Parameter</t>
  </si>
  <si>
    <t>Entered Value</t>
  </si>
  <si>
    <t>Default</t>
  </si>
  <si>
    <t>(from Input cell O8)</t>
  </si>
  <si>
    <t xml:space="preserve">Modified Instructions - removed motor pf from Adjustable Program Constants </t>
  </si>
  <si>
    <t>It is no longer being used</t>
  </si>
  <si>
    <t>Removed note in Instructions stating that groups of drives with same type and filter will have an averaged line cable length</t>
  </si>
  <si>
    <t>Corrected line 128 in Instructions</t>
  </si>
  <si>
    <t>Fixed number of decimal digits in the Report:  HP and % Load columns to match Inputs</t>
  </si>
  <si>
    <t>(from cell H5)</t>
  </si>
  <si>
    <t xml:space="preserve">Total HP = </t>
  </si>
  <si>
    <t>171027P</t>
  </si>
  <si>
    <t>Added "Total HP" to Input and Report</t>
  </si>
  <si>
    <t>Modified Instructions per removal of RT to HP conversion</t>
  </si>
  <si>
    <t xml:space="preserve">Removed RT to HP converstion on Input </t>
  </si>
  <si>
    <t>This particular combination of types of drives and filters does not meet the IEEE 519-2014 TDD Limit at the PCC.  Please consult your local ABB representative to discuss this report.</t>
  </si>
  <si>
    <t>Reworded design checks on Input P6, P7, P8</t>
  </si>
  <si>
    <t>The above show up on the Report</t>
  </si>
  <si>
    <t>Turned off the gridlines on the tabs</t>
  </si>
  <si>
    <t>Changed statement on Qual Notes C19</t>
  </si>
  <si>
    <t>On Report E40 and E44, spelled out Primary and Secondary</t>
  </si>
  <si>
    <t>On Report E31-34, show % loading and total kVA</t>
  </si>
  <si>
    <t xml:space="preserve">% thermal </t>
  </si>
  <si>
    <t>kva</t>
  </si>
  <si>
    <t>rated current</t>
  </si>
  <si>
    <t>Pec-r</t>
  </si>
  <si>
    <t>data from Grebe, 1994</t>
  </si>
  <si>
    <t>derating factor</t>
  </si>
  <si>
    <t>data also from Paice, p114</t>
  </si>
  <si>
    <t>derated current</t>
  </si>
  <si>
    <t>% loaded</t>
  </si>
  <si>
    <t>Irated-Iload</t>
  </si>
  <si>
    <t>XFMR Thermal Load</t>
  </si>
  <si>
    <t>Cell with an issue</t>
  </si>
  <si>
    <t>180103P</t>
  </si>
  <si>
    <r>
      <t>The "</t>
    </r>
    <r>
      <rPr>
        <b/>
        <sz val="11"/>
        <color rgb="FFC00000"/>
        <rFont val="Calibri"/>
        <family val="2"/>
        <scheme val="minor"/>
      </rPr>
      <t>Design Checks:</t>
    </r>
    <r>
      <rPr>
        <sz val="11"/>
        <color theme="1"/>
        <rFont val="Calibri"/>
        <family val="2"/>
        <scheme val="minor"/>
      </rPr>
      <t>" would show the following if true:</t>
    </r>
  </si>
  <si>
    <r>
      <t xml:space="preserve">Please note that the Total kVA </t>
    </r>
    <r>
      <rPr>
        <b/>
        <u/>
        <sz val="11"/>
        <color theme="1"/>
        <rFont val="Calibri"/>
        <family val="2"/>
        <scheme val="minor"/>
      </rPr>
      <t>is not</t>
    </r>
    <r>
      <rPr>
        <sz val="11"/>
        <color theme="1"/>
        <rFont val="Calibri"/>
        <family val="2"/>
        <scheme val="minor"/>
      </rPr>
      <t xml:space="preserve"> the sum of the individual kVA values.</t>
    </r>
  </si>
  <si>
    <t>Added Thermal tab and result on Input tab as % (est) XFMR Thermal Rating</t>
  </si>
  <si>
    <t>Expanded some items in Instructions tab</t>
  </si>
  <si>
    <t>% thermally loaded</t>
  </si>
  <si>
    <t>Irms</t>
  </si>
  <si>
    <t>Irms values used for comparison only</t>
  </si>
  <si>
    <t>Enter the information for the transformer and max loading as requested.</t>
  </si>
  <si>
    <t>First enter the generator information in cells J4, J5, J6, J7, J9, J10.</t>
  </si>
  <si>
    <t>Then follow the instructions for Utility Input Power (B13 above).</t>
  </si>
  <si>
    <t>Utility [V] would be the generator voltage.</t>
  </si>
  <si>
    <t>Utility [MVAsc} would be the generator kVA/1000/Xd" =</t>
  </si>
  <si>
    <t>Added "Design Checks Completed" text on Input P9.</t>
  </si>
  <si>
    <t>I_drive/I_load [%]</t>
  </si>
  <si>
    <t>180104P</t>
  </si>
  <si>
    <t>Removed K-Factor and % (est) XFMR Thermal Rating from Input tab</t>
  </si>
  <si>
    <t xml:space="preserve">  Leading PF Current</t>
  </si>
  <si>
    <t>Hid and locked the 7% and 5% THDi Filter, no load amps values in Instruction tab rows 147,148</t>
  </si>
  <si>
    <t>180104bP</t>
  </si>
  <si>
    <t>Changed 'Current' to 'Load Currents' in the Quick View on Input tab</t>
  </si>
  <si>
    <t>Added note on Instructions tab</t>
  </si>
  <si>
    <t>The middle box on the right gives various current values regarding the drive(s) and the linear load.</t>
  </si>
  <si>
    <t xml:space="preserve">These currents are on the secondary of the transformer when the source is the UTILITY, </t>
  </si>
  <si>
    <t>or between the loads and the generator when the source is the GENERATOR.</t>
  </si>
  <si>
    <t>System Constants</t>
  </si>
  <si>
    <t>180110P</t>
  </si>
  <si>
    <t>Location of UTILITY on diagram on report tab moved up one cell</t>
  </si>
  <si>
    <t>Added "Passive" to the 7% and 5% THDi Filter labels</t>
  </si>
  <si>
    <t>7% THDi Passive Filter</t>
  </si>
  <si>
    <t>5% THDi Passive Filter</t>
  </si>
  <si>
    <t>Added line 123 to Instructions tab</t>
  </si>
  <si>
    <t>Moved copy of constants into Drives tab</t>
  </si>
  <si>
    <t>Needed to change Drives cells O13, O14, F6:F55</t>
  </si>
  <si>
    <t>180112P</t>
  </si>
  <si>
    <t>Page 3 shows graphs of the current and voltage harmonic spectrums</t>
  </si>
  <si>
    <t>Changed wording in Instructions C287</t>
  </si>
  <si>
    <t>Fills in only if not equal to "" on Input tab</t>
  </si>
  <si>
    <t>Page 4 tabulates the current and voltage harmonic distortion as raw values and as percentages of the fundamental value.</t>
  </si>
  <si>
    <t>An "x" in the column to the right of the "IEEE TDD Limit [%]" column indicates that the value of the calculated</t>
  </si>
  <si>
    <t>IEEE 519-2014 Table 2.</t>
  </si>
  <si>
    <t xml:space="preserve">system current distortion for that particular harmonic number exceeds the recommended limit found in </t>
  </si>
  <si>
    <t>RESULTS</t>
  </si>
  <si>
    <t>Changed word in Report F38 to "RESULTS" from "PASS" or "FAIL"</t>
  </si>
  <si>
    <t>Added "Input Cable, ft" column to Report page 2</t>
  </si>
  <si>
    <t>Modified color for cell groups at F38 and M38 on Report tab</t>
  </si>
  <si>
    <t>Made text in Report M38 bold</t>
  </si>
  <si>
    <t>Green = 198,224,180</t>
  </si>
  <si>
    <t>Ping = 255,153,153</t>
  </si>
  <si>
    <t>was 169,208,142</t>
  </si>
  <si>
    <t>was 255,113,113</t>
  </si>
  <si>
    <t>Added printing details to Instructions C294 and following</t>
  </si>
  <si>
    <t>Use the following setup:</t>
  </si>
  <si>
    <t>Print Active Sheets</t>
  </si>
  <si>
    <t>Portrait Orientation</t>
  </si>
  <si>
    <t>Letter:  8.5" x 11"</t>
  </si>
  <si>
    <t>Normal Margins</t>
  </si>
  <si>
    <t>Bottom 0.75"</t>
  </si>
  <si>
    <t>Right 0.7"</t>
  </si>
  <si>
    <t>Footer 0.3"</t>
  </si>
  <si>
    <t xml:space="preserve">   Top 0.75"</t>
  </si>
  <si>
    <t xml:space="preserve">   Left 0.7"</t>
  </si>
  <si>
    <t xml:space="preserve">   Header 0.3"</t>
  </si>
  <si>
    <t>Custom Scaling</t>
  </si>
  <si>
    <t>Page Setup:  Adjust to 60% Normal Size</t>
  </si>
  <si>
    <t>180207P</t>
  </si>
  <si>
    <t>Created colum AG in the Sum tab and put the triplens there.</t>
  </si>
  <si>
    <t>If Max % for transformer is set to 0, don't show design check of Max % being exceeded.</t>
  </si>
  <si>
    <t>This fixed differences in the spectrum and listing with respect to TDD and vTHD</t>
  </si>
  <si>
    <t>Harmonic analysis only includes the drives that are listed on page 2 of this report.</t>
  </si>
  <si>
    <t>180219P</t>
  </si>
  <si>
    <t>If %Load = 0, then make drive HP = 0 in Drives tab</t>
  </si>
  <si>
    <t>Changed wording of "ABB Drives" note in Qual Notes tab</t>
  </si>
  <si>
    <t>180222P</t>
  </si>
  <si>
    <t>Show 3ph linear loads on diagrams in Instructions tab.</t>
  </si>
  <si>
    <t>The following describes how you can use these notes:</t>
  </si>
  <si>
    <t>b.      That is why they are colored light orange.</t>
  </si>
  <si>
    <t xml:space="preserve">a.       They would not be used for notes that are unique for you that you may use on multiple analyses.  </t>
  </si>
  <si>
    <t>b.      That is why they are colored light gray.</t>
  </si>
  <si>
    <t>a.       Those rows are presently named, “Special Note 1”, “Special Note 2”, etc.</t>
  </si>
  <si>
    <t>c.       You can customize a note that you will use often in column C</t>
  </si>
  <si>
    <t>Added notes to Instructions tab regarding the special notes in the report and the Qual Notes</t>
  </si>
  <si>
    <t>Drives Listed</t>
  </si>
  <si>
    <t>180228P</t>
  </si>
  <si>
    <t>Modified "Drives Listed" entry on Qual Notes tab</t>
  </si>
  <si>
    <t>The rev level now originates on this tab, K1</t>
  </si>
  <si>
    <t xml:space="preserve">1)      On the Report tab, page 1, the first 6 rows of notes (rows 48-59)are selected from the drop-down menus.  </t>
  </si>
  <si>
    <t>a.       They come from the Qual Notes tab, rows 3-15.</t>
  </si>
  <si>
    <t xml:space="preserve">2)      On the Report tab, page 1, the next 4 rows of notes are there for notes you may want to type in that would be unique for that particular order.  </t>
  </si>
  <si>
    <t>3)      On the Qual Notes tab, if there are notes that you want to use on multiple orders, you would put those notes into rows 11-15 of the Qual Notes tab.</t>
  </si>
  <si>
    <t>d.      You can then select that note from the drop down in rows 48-59 of the Report tab.</t>
  </si>
  <si>
    <t>Modified Instruction tab rows 312-322 correspondingly</t>
  </si>
  <si>
    <t>5.75% Z</t>
  </si>
  <si>
    <t>Changed number of notes drop-downs on Report tab, page 2, from 5 to 6</t>
  </si>
  <si>
    <t>Reduced the number of free-form notes on Report tab, page 2, from 5 to 4</t>
  </si>
  <si>
    <t>Deleted unused tabs:</t>
  </si>
  <si>
    <t>Harmonic Report</t>
  </si>
  <si>
    <t>Harmonic Summary</t>
  </si>
  <si>
    <t>181108P</t>
  </si>
  <si>
    <t>Changed format of Input D5 to "General" so that a Rev = 1 shows up as "1" instead of a date</t>
  </si>
  <si>
    <t xml:space="preserve">    Total HP motor loads</t>
  </si>
  <si>
    <t xml:space="preserve">    Total kW resistive loads</t>
  </si>
  <si>
    <t xml:space="preserve">    Total A loads</t>
  </si>
  <si>
    <t>Revision</t>
  </si>
  <si>
    <t>Units Selection</t>
  </si>
  <si>
    <t>US</t>
  </si>
  <si>
    <t>Input Info</t>
  </si>
  <si>
    <t>Utility [kV]</t>
  </si>
  <si>
    <t>Secondary Voltge [V]</t>
  </si>
  <si>
    <t>Impedance [%Z]</t>
  </si>
  <si>
    <t>total kW resistive loads</t>
  </si>
  <si>
    <t>total A loads</t>
  </si>
  <si>
    <t>Power Factor [pu]</t>
  </si>
  <si>
    <t>Xd"</t>
  </si>
  <si>
    <t>total kW motor loads</t>
  </si>
  <si>
    <t>Ireal motors</t>
  </si>
  <si>
    <t>Ireact motors</t>
  </si>
  <si>
    <t>Ireal resistive</t>
  </si>
  <si>
    <t>Ireal A loads</t>
  </si>
  <si>
    <t>harmonics</t>
  </si>
  <si>
    <t>Meets vTHD?</t>
  </si>
  <si>
    <t>% xfmr</t>
  </si>
  <si>
    <t>drives, linear loads, % xfmr</t>
  </si>
  <si>
    <t>linear loads, % xfmr</t>
  </si>
  <si>
    <t>drives, linear loads</t>
  </si>
  <si>
    <t>x</t>
  </si>
  <si>
    <t>drives, linear loads, % xfmr, AHF</t>
  </si>
  <si>
    <t>Ireact A loads</t>
  </si>
  <si>
    <t>Linear Load Selection</t>
  </si>
  <si>
    <t>LinLoad_Sel</t>
  </si>
  <si>
    <t>Load</t>
  </si>
  <si>
    <t>Drives, harm</t>
  </si>
  <si>
    <t>Drives, fund</t>
  </si>
  <si>
    <t>Drives, total</t>
  </si>
  <si>
    <t>Linear, total</t>
  </si>
  <si>
    <t xml:space="preserve">Total </t>
  </si>
  <si>
    <t>% of Rated</t>
  </si>
  <si>
    <t>Total HP motor loads [hp]</t>
  </si>
  <si>
    <t>Total kW resistive loads [kW]</t>
  </si>
  <si>
    <t>Total ampere loads [A]</t>
  </si>
  <si>
    <t>MAX % kVA loading of xfmr [%]</t>
  </si>
  <si>
    <t>Total at:</t>
  </si>
  <si>
    <t>kVA Goal</t>
  </si>
  <si>
    <t>Total Load at PCC</t>
  </si>
  <si>
    <t>modified to set % kW load for gen</t>
  </si>
  <si>
    <t>kW load goal</t>
  </si>
  <si>
    <t>PFrated</t>
  </si>
  <si>
    <t>Ireal rated</t>
  </si>
  <si>
    <t>Ireal target</t>
  </si>
  <si>
    <t>need to show on input, load table:</t>
  </si>
  <si>
    <t>% kW load</t>
  </si>
  <si>
    <t>% kVA load</t>
  </si>
  <si>
    <t>If either is exceeded</t>
  </si>
  <si>
    <t>% current - drop this</t>
  </si>
  <si>
    <t>OK as is for transformer</t>
  </si>
  <si>
    <t>and the conditional formatting</t>
  </si>
  <si>
    <t>future feature</t>
  </si>
  <si>
    <t>Total kVA load exceeds the MAX % kVA loading!</t>
  </si>
  <si>
    <t>Total kVA load exceeds the Transformer kVA rating!</t>
  </si>
  <si>
    <t>Total kVA load exceeds the Generator kVA rating!</t>
  </si>
  <si>
    <t>Total kW load exceeds the Generator kW rating!</t>
  </si>
  <si>
    <t>Total kW load exceeds the MAX % kW loading!</t>
  </si>
  <si>
    <t>load goal</t>
  </si>
  <si>
    <t>MAX % kW loading of gen [%]</t>
  </si>
  <si>
    <t>Messages:</t>
  </si>
  <si>
    <t>gray out linear load section if NO?</t>
  </si>
  <si>
    <t>do this</t>
  </si>
  <si>
    <t>p/w:</t>
  </si>
  <si>
    <t>No power limits exceeded</t>
  </si>
  <si>
    <t>•Total kVA load exceeds the MAX % kVA loading!</t>
  </si>
  <si>
    <t>•Total kVA load exceeds the Transformer kVA rating!</t>
  </si>
  <si>
    <t>•Total kW load exceeds the MAX % kW loading!</t>
  </si>
  <si>
    <t>•Total kW load exceeds the Generator kW rating!</t>
  </si>
  <si>
    <t>•Total kVA load exceeds the Generator kVA rating!</t>
  </si>
  <si>
    <r>
      <t>If there are no issues with the Design Checks, the "</t>
    </r>
    <r>
      <rPr>
        <b/>
        <sz val="11"/>
        <color rgb="FF009900"/>
        <rFont val="Calibri"/>
        <family val="2"/>
        <scheme val="minor"/>
      </rPr>
      <t>No power limits exceeded</t>
    </r>
    <r>
      <rPr>
        <sz val="11"/>
        <rFont val="Calibri"/>
        <family val="2"/>
        <scheme val="minor"/>
      </rPr>
      <t>" message would show.</t>
    </r>
  </si>
  <si>
    <t>Power values and totals are also given.</t>
  </si>
  <si>
    <t>The bottom box is used to convert various parameters into Rated HP values</t>
  </si>
  <si>
    <t>Simply hover over the cell with your cursor to see the notes.</t>
  </si>
  <si>
    <t>The voltage distortion will also be at the generator bus.</t>
  </si>
  <si>
    <t>Cell J12 states that the location of the PCC will be at the generator bus.</t>
  </si>
  <si>
    <t>The middle box on the left shows various system parameters and the TDD pass/fail.</t>
  </si>
  <si>
    <r>
      <t xml:space="preserve">You can copy and paste drives and filters using "Paste Special", "Values".  </t>
    </r>
    <r>
      <rPr>
        <b/>
        <sz val="11"/>
        <color theme="1"/>
        <rFont val="Calibri"/>
        <family val="2"/>
        <scheme val="minor"/>
      </rPr>
      <t>Do not use a simple paste function.</t>
    </r>
  </si>
  <si>
    <t>If multiple drives are entered on a line, use an average of the cable lengths.</t>
  </si>
  <si>
    <t>If needed, you may change the values within these grey cells to more closely match the estimate to your system.</t>
  </si>
  <si>
    <t>If the kVA or kW rating is exceeded, the design check shows up and the appropriate cells turn red.</t>
  </si>
  <si>
    <t>The % of Rated shows the % loading on the XFMR or GEN based on its rating.</t>
  </si>
  <si>
    <t>The red triangles in the upper right-hand corners indicates that there are notes for the cell.</t>
  </si>
  <si>
    <t>In the future, this tab can be hidden with a password chosen by you.</t>
  </si>
  <si>
    <t>b.      You can change their names to whatever you like in column B</t>
  </si>
  <si>
    <t>seen at the bottom of the "Harmonic Estimation Summary Report" sheet 1.</t>
  </si>
  <si>
    <t>190904P</t>
  </si>
  <si>
    <t>Several changes to add Linear Loads section in Worksheets</t>
  </si>
  <si>
    <t>xfmr with delta winding</t>
  </si>
  <si>
    <t>if the transformer has a delta winding, triplin harmonic currents are not present in the primary</t>
  </si>
  <si>
    <t>Multiplier for the delta winding</t>
  </si>
  <si>
    <t>Did sqrt(sumsq()) for h8 to h100</t>
  </si>
  <si>
    <t>Did sum() for h1 to h7</t>
  </si>
  <si>
    <t>total actual hp</t>
  </si>
  <si>
    <t>When doing any "Cut and Paste", be sure to paste "Values (V)", otherwise things get messed up!</t>
  </si>
  <si>
    <t>xfmr has delta winding [Y/N]</t>
  </si>
  <si>
    <t xml:space="preserve"> If no delta winding, enter N</t>
  </si>
  <si>
    <t>corrected labels in Instructions regarding drive and filter selections</t>
  </si>
  <si>
    <t>none  (leave the cell blank or delete the filter that was selected)</t>
  </si>
  <si>
    <t>corrected sum of Ireal and Ireact in Sum AH to AM</t>
  </si>
  <si>
    <t>corrected Power W22-27 to get info from Sum AT</t>
  </si>
  <si>
    <t>changed values for DPF in Drives column AH from 0.910</t>
  </si>
  <si>
    <t>zeroed out AHF data in Power  Q4</t>
  </si>
  <si>
    <t>corrected Drives BB54 from 'D01'!F1 to 'E01'!F1</t>
  </si>
  <si>
    <t>Data from simulations of 18P using auto-xfmr, 2002</t>
  </si>
  <si>
    <t>191210P</t>
  </si>
  <si>
    <t>moved Input L10:M15 down to L11:M16</t>
  </si>
  <si>
    <t>replaced harmonics table in E01 with 2002 simulation results using auto-xfmr</t>
  </si>
  <si>
    <t>set PF for F01 (ULH) to 0.995</t>
  </si>
  <si>
    <t>Added parameter in Instructions for xfmr having a delta winding = Y to multiply the PCC1 triplen currents by 0</t>
  </si>
  <si>
    <t>set E01 E1 to 0</t>
  </si>
  <si>
    <t>set F01 E1 to 0</t>
  </si>
  <si>
    <t>set D01 E1 to 0</t>
  </si>
  <si>
    <t>set PCC1 triplen multiplier to 0.05 - seems more realistic</t>
  </si>
  <si>
    <t>sum(h1:h7)</t>
  </si>
  <si>
    <t xml:space="preserve">sqrt(sumsq(h8:h100)) </t>
  </si>
  <si>
    <t>set PF for E01 (18P) to 0.985</t>
  </si>
  <si>
    <t>set PF for D01 (12P) to 0.981</t>
  </si>
  <si>
    <t>Analysis Notes</t>
  </si>
  <si>
    <t>Questions or Support?</t>
  </si>
  <si>
    <t>4)  A result of this difference between how this estimator sums harmonics and what happens in reality, the estimator may indicate</t>
  </si>
  <si>
    <t xml:space="preserve">      between different Drive/Filter combinations</t>
  </si>
  <si>
    <t>2)  This is a conservative method of determining the total harmonics in a system</t>
  </si>
  <si>
    <t>Please be aware of the following anomaly when performing harmonic estimates using a mix of different Drive/Filter combinations.</t>
  </si>
  <si>
    <t>1)  The harmonics created by each Drive/Filter combination are summed as noted in IEEE Std 399-1997, 10.2, using the principle of superposition</t>
  </si>
  <si>
    <t>3)  In reality, some of the higher harmonics will partially cancel when summed due to the phase angle magnitude of a particular harmonic</t>
  </si>
  <si>
    <t>added note in Instructions B334 regarding how harmonics add from different drive/filter combinations</t>
  </si>
  <si>
    <t>modified title in Report E37 to change with Utility or Generator source</t>
  </si>
  <si>
    <t>original</t>
  </si>
  <si>
    <t>measured</t>
  </si>
  <si>
    <t>191211P</t>
  </si>
  <si>
    <t>replaced harmonics table in F01 with 2019 measurement by Peter Wilder</t>
  </si>
  <si>
    <t>Modified h5 in F01 table</t>
  </si>
  <si>
    <t>Modified rule in Drives K for cable length when % Load = 0</t>
  </si>
  <si>
    <t>191216P</t>
  </si>
  <si>
    <t>Removed result from Input in Drives for future AHF entry</t>
  </si>
  <si>
    <t>in lab</t>
  </si>
  <si>
    <t>reduced</t>
  </si>
  <si>
    <t xml:space="preserve">due to </t>
  </si>
  <si>
    <t>5th Vthd</t>
  </si>
  <si>
    <t>Max Percent of Source</t>
  </si>
  <si>
    <t>Itemized</t>
  </si>
  <si>
    <t>avg PF</t>
  </si>
  <si>
    <t xml:space="preserve">    Total kVA loads</t>
  </si>
  <si>
    <t>Total kVA loads [kVA]</t>
  </si>
  <si>
    <t>Ireal kVA loads</t>
  </si>
  <si>
    <t>Ireact kVA loads</t>
  </si>
  <si>
    <t>total kVA loads</t>
  </si>
  <si>
    <t>200304P</t>
  </si>
  <si>
    <t>Added Linear Loads in Worksheets</t>
  </si>
  <si>
    <t>Moved Linear Loads above drive entry section</t>
  </si>
  <si>
    <t>Added kVA as another linear load</t>
  </si>
  <si>
    <t>Changed G11:H11 in Input</t>
  </si>
  <si>
    <t>Added linear load selection at F14 in Input</t>
  </si>
  <si>
    <t>Fixed Notes for linear loads</t>
  </si>
  <si>
    <t>Fixed Instructions per above changes</t>
  </si>
  <si>
    <t xml:space="preserve">The top two boxes are used to convert various parameters into MVAsc values </t>
  </si>
  <si>
    <t>Linear loads can be added in two ways.</t>
  </si>
  <si>
    <t>Or, if the source is Generator, you enter the maximum % loading you expect the generator to be loaded to.</t>
  </si>
  <si>
    <t>You may also specify the Power Factor of this linear load.</t>
  </si>
  <si>
    <r>
      <rPr>
        <b/>
        <sz val="11"/>
        <color theme="1"/>
        <rFont val="Calibri"/>
        <family val="2"/>
        <scheme val="minor"/>
      </rPr>
      <t>Max Percent of Source</t>
    </r>
    <r>
      <rPr>
        <sz val="11"/>
        <color theme="1"/>
        <rFont val="Calibri"/>
        <family val="2"/>
        <scheme val="minor"/>
      </rPr>
      <t xml:space="preserve"> is where you enter the maximum % loading you expect the transformer to be loaded to (if source is Utility).</t>
    </r>
  </si>
  <si>
    <t>As you change the number of drives, the program will change the linear load in order to maintain the % value entered.</t>
  </si>
  <si>
    <t>If the drive loads causes the % load entered to be exceeded, this will turn red and a design check message will appear.</t>
  </si>
  <si>
    <t>Cell F14 allows you to select either "Max Percent of Source" or "Itemized".</t>
  </si>
  <si>
    <t>A total HP motor load value, with its average PF</t>
  </si>
  <si>
    <t>A total kW resistive load value, with a fixed PF of 1.00</t>
  </si>
  <si>
    <t>A total kVA load value, with its average PF</t>
  </si>
  <si>
    <t>A total A load value, with its average PF</t>
  </si>
  <si>
    <t>generator will also change.</t>
  </si>
  <si>
    <t xml:space="preserve">As you change the number of drives, the program will add these linear loads to the drive loads, so the total loading on the transformer or </t>
  </si>
  <si>
    <t>The voltage distortion will be at the transformer secondary as noted in H11.</t>
  </si>
  <si>
    <r>
      <rPr>
        <b/>
        <sz val="11"/>
        <color theme="1"/>
        <rFont val="Calibri"/>
        <family val="2"/>
        <scheme val="minor"/>
      </rPr>
      <t>Itemized</t>
    </r>
    <r>
      <rPr>
        <sz val="11"/>
        <color theme="1"/>
        <rFont val="Calibri"/>
        <family val="2"/>
        <scheme val="minor"/>
      </rPr>
      <t xml:space="preserve"> is where you enter specific values for linear loads and their average PF.</t>
    </r>
  </si>
  <si>
    <t>If the drive or linear loads cause the loading on the transformer or generator to exceed its rating, a design check message will appear</t>
  </si>
  <si>
    <t>and the cells in jeopardy will turn red.</t>
  </si>
  <si>
    <t xml:space="preserve">In cell C26, if there is an ID Tag number for the drive you are entering, place it here.  </t>
  </si>
  <si>
    <t>In cell F26, select the drive type from the drop-down list.</t>
  </si>
  <si>
    <t xml:space="preserve">In cell G26, if there is or needs to be an additional filter on the input of the drive, </t>
  </si>
  <si>
    <t>In cell H26, enter the HP rating of the drive.</t>
  </si>
  <si>
    <t>In cell I26, enter the % Load at which the drive will operate.</t>
  </si>
  <si>
    <t>In cell J26, enter the length of cable, in feet, between the transformer and drive input.</t>
  </si>
  <si>
    <t>Continue with the cells in rows 27 through 75 (max of 50 entries).</t>
  </si>
  <si>
    <t>Cell H76 is the sum of the values in the Rated HP column</t>
  </si>
  <si>
    <t>This program uses the following constants for various parameters.</t>
  </si>
  <si>
    <t>Linear Load Notes</t>
  </si>
  <si>
    <t xml:space="preserve">      a slightly higher harmonic magnitude than what would be expected </t>
  </si>
  <si>
    <t>Lin Load Sel</t>
  </si>
  <si>
    <t>Method of Harmonic Estimation</t>
  </si>
  <si>
    <t>These tables were created using simulation tools such as Pspice and ANSYS Simplorer, and were verified with actual measurements.</t>
  </si>
  <si>
    <t>The method used in this harmonic estimator tool is with tables of harmonics for each type of Drive/Filter combination, at various Rsc ratios.</t>
  </si>
  <si>
    <t>The Drive/Filter combinations are represented by a typical set of components that are linearly scaled for the HP rating.</t>
  </si>
  <si>
    <t>REV:</t>
  </si>
  <si>
    <t>200305P</t>
  </si>
  <si>
    <t>Added Analysis info to Instructions</t>
  </si>
  <si>
    <t>Added kVA load to Report</t>
  </si>
  <si>
    <t>Made boxes for % Loads vanish if not selected</t>
  </si>
  <si>
    <t>Changed Conditional formatting for cells that turn red or disappear</t>
  </si>
  <si>
    <t>When the UTILITY is selected, and the Linear Load Selection is "Max Percent of Source", you will see this:</t>
  </si>
  <si>
    <t>When the GENERATOR is selected, and the Linear Load Selection is "Max Percent of Source", you will see this:</t>
  </si>
  <si>
    <t>When either UTILITY or GENERATOR is selected, and the Linear Load Selection is "Itemized", you will see this:</t>
  </si>
  <si>
    <t>See Instructions tab, line 283, note regarding Total [kVA]</t>
  </si>
  <si>
    <t>200318P</t>
  </si>
  <si>
    <t>Modified Linear Loads, only two notes for cells</t>
  </si>
  <si>
    <t>Modified Report to include the linear loads</t>
  </si>
  <si>
    <t>200319P</t>
  </si>
  <si>
    <t>In Linear Loads, hid the % Max numbers when grayed out</t>
  </si>
  <si>
    <t>200407P</t>
  </si>
  <si>
    <t>Modified wording of note for Input cell E15</t>
  </si>
  <si>
    <t>200527P</t>
  </si>
  <si>
    <t>Corrected cells Input C36-C75 as merge and center</t>
  </si>
  <si>
    <t>200608P</t>
  </si>
  <si>
    <t>Corrected column G of Drives so when % Load = 0, that drive is not included for calc of avg length of input line length</t>
  </si>
  <si>
    <t>Per Unit</t>
  </si>
  <si>
    <t>A fund</t>
  </si>
  <si>
    <t>H5:H53 modified using J$1 instead of H$4</t>
  </si>
  <si>
    <t>220705P</t>
  </si>
  <si>
    <t>Corrected F01 so that Iharm does not vary with % Load</t>
  </si>
  <si>
    <t>Corrected 7/5/2022  rh</t>
  </si>
  <si>
    <t>J1 and K1 added</t>
  </si>
  <si>
    <t>A rated fund</t>
  </si>
  <si>
    <t>I1 modified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</si>
</sst>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0.0%"/>
    <numFmt numFmtId="166" formatCode="0.000"/>
    <numFmt numFmtId="167" formatCode="0.000000"/>
    <numFmt numFmtId="168" formatCode="0.0000"/>
    <numFmt numFmtId="169" formatCode="[$-409]mmmm\ d\,\ yyyy;@"/>
    <numFmt numFmtId="170" formatCode="0_);[Red]\(0\)"/>
  </numFmts>
  <fonts count="43" x14ac:knownFonts="1">
    <font>
      <sz val="11"/>
      <color theme="1"/>
      <name val="Calibri"/>
      <family val="2"/>
      <scheme val="minor"/>
    </font>
    <font>
      <b/>
      <sz val="11"/>
      <color theme="1"/>
      <name val="Calibri"/>
      <family val="2"/>
      <scheme val="minor"/>
    </font>
    <font>
      <b/>
      <sz val="14"/>
      <color theme="1"/>
      <name val="Calibri"/>
      <family val="2"/>
      <scheme val="minor"/>
    </font>
    <font>
      <sz val="9"/>
      <name val="Arial"/>
      <family val="2"/>
    </font>
    <font>
      <sz val="9"/>
      <name val="Arial"/>
      <family val="2"/>
    </font>
    <font>
      <b/>
      <sz val="9"/>
      <color theme="1"/>
      <name val="Calibri"/>
      <family val="2"/>
      <scheme val="minor"/>
    </font>
    <font>
      <sz val="9"/>
      <color theme="1"/>
      <name val="Calibri"/>
      <family val="2"/>
      <scheme val="minor"/>
    </font>
    <font>
      <sz val="11"/>
      <color theme="1"/>
      <name val="Calibri"/>
      <family val="2"/>
      <scheme val="minor"/>
    </font>
    <font>
      <sz val="10"/>
      <name val="Arial"/>
      <family val="2"/>
    </font>
    <font>
      <sz val="11"/>
      <name val="Calibri"/>
      <family val="2"/>
      <scheme val="minor"/>
    </font>
    <font>
      <u/>
      <sz val="11"/>
      <color theme="10"/>
      <name val="Calibri"/>
      <family val="2"/>
      <scheme val="minor"/>
    </font>
    <font>
      <b/>
      <sz val="10"/>
      <name val="Arial"/>
      <family val="2"/>
    </font>
    <font>
      <sz val="10"/>
      <name val="Calibri"/>
      <family val="2"/>
      <scheme val="minor"/>
    </font>
    <font>
      <b/>
      <sz val="10"/>
      <name val="Calibri"/>
      <family val="2"/>
      <scheme val="minor"/>
    </font>
    <font>
      <sz val="10"/>
      <color theme="1"/>
      <name val="Calibri"/>
      <family val="2"/>
      <scheme val="minor"/>
    </font>
    <font>
      <b/>
      <sz val="11"/>
      <name val="Calibri"/>
      <family val="2"/>
      <scheme val="minor"/>
    </font>
    <font>
      <b/>
      <sz val="10"/>
      <color theme="1"/>
      <name val="Calibri"/>
      <family val="2"/>
      <scheme val="minor"/>
    </font>
    <font>
      <b/>
      <sz val="14"/>
      <name val="Calibri"/>
      <family val="2"/>
      <scheme val="minor"/>
    </font>
    <font>
      <b/>
      <sz val="11"/>
      <color indexed="8"/>
      <name val="Calibri"/>
      <family val="2"/>
    </font>
    <font>
      <sz val="8"/>
      <color theme="1"/>
      <name val="Calibri"/>
      <family val="2"/>
      <scheme val="minor"/>
    </font>
    <font>
      <sz val="10"/>
      <name val="Arial"/>
      <family val="2"/>
    </font>
    <font>
      <sz val="10"/>
      <color theme="1"/>
      <name val="Arial"/>
      <family val="2"/>
    </font>
    <font>
      <sz val="9"/>
      <color indexed="81"/>
      <name val="Tahoma"/>
      <family val="2"/>
    </font>
    <font>
      <b/>
      <sz val="9"/>
      <color indexed="81"/>
      <name val="Tahoma"/>
      <family val="2"/>
    </font>
    <font>
      <sz val="10"/>
      <name val="Arial"/>
      <family val="2"/>
    </font>
    <font>
      <sz val="14"/>
      <name val="Calibri"/>
      <family val="2"/>
      <scheme val="minor"/>
    </font>
    <font>
      <b/>
      <sz val="20"/>
      <name val="Calibri"/>
      <family val="2"/>
      <scheme val="minor"/>
    </font>
    <font>
      <b/>
      <sz val="12"/>
      <color theme="1"/>
      <name val="Calibri"/>
      <family val="2"/>
      <scheme val="minor"/>
    </font>
    <font>
      <sz val="10"/>
      <color rgb="FFFF0000"/>
      <name val="Arial"/>
      <family val="2"/>
    </font>
    <font>
      <sz val="11"/>
      <color theme="0"/>
      <name val="Calibri"/>
      <family val="2"/>
      <scheme val="minor"/>
    </font>
    <font>
      <sz val="7"/>
      <color theme="1"/>
      <name val="Times New Roman"/>
      <family val="1"/>
    </font>
    <font>
      <b/>
      <sz val="11"/>
      <color rgb="FFC00000"/>
      <name val="Calibri"/>
      <family val="2"/>
      <scheme val="minor"/>
    </font>
    <font>
      <b/>
      <sz val="18"/>
      <color theme="1"/>
      <name val="Calibri"/>
      <family val="2"/>
      <scheme val="minor"/>
    </font>
    <font>
      <sz val="11"/>
      <color theme="4" tint="-0.499984740745262"/>
      <name val="Calibri"/>
      <family val="2"/>
      <scheme val="minor"/>
    </font>
    <font>
      <b/>
      <sz val="11"/>
      <color rgb="FF339933"/>
      <name val="Calibri"/>
      <family val="2"/>
      <scheme val="minor"/>
    </font>
    <font>
      <b/>
      <u/>
      <sz val="11"/>
      <color theme="1"/>
      <name val="Calibri"/>
      <family val="2"/>
      <scheme val="minor"/>
    </font>
    <font>
      <sz val="10.5"/>
      <color theme="1"/>
      <name val="Calibri"/>
      <family val="2"/>
      <scheme val="minor"/>
    </font>
    <font>
      <b/>
      <sz val="11"/>
      <color rgb="FF009900"/>
      <name val="Calibri"/>
      <family val="2"/>
      <scheme val="minor"/>
    </font>
    <font>
      <b/>
      <sz val="12"/>
      <color rgb="FFFF0000"/>
      <name val="Calibri"/>
      <family val="2"/>
      <scheme val="minor"/>
    </font>
    <font>
      <sz val="8"/>
      <color indexed="81"/>
      <name val="Tahoma"/>
      <charset val="1"/>
    </font>
    <font>
      <b/>
      <sz val="8"/>
      <color indexed="81"/>
      <name val="Tahoma"/>
      <family val="2"/>
    </font>
    <font>
      <b/>
      <sz val="10"/>
      <color rgb="FFC00000"/>
      <name val="Arial"/>
      <family val="2"/>
    </font>
    <font>
      <sz val="10"/>
      <color rgb="FFC00000"/>
      <name val="Arial"/>
      <family val="2"/>
    </font>
  </fonts>
  <fills count="20">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FFF99"/>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9" tint="-0.249977111117893"/>
        <bgColor indexed="64"/>
      </patternFill>
    </fill>
    <fill>
      <patternFill patternType="solid">
        <fgColor theme="5" tint="-0.249977111117893"/>
        <bgColor indexed="64"/>
      </patternFill>
    </fill>
    <fill>
      <patternFill patternType="lightTrellis"/>
    </fill>
    <fill>
      <patternFill patternType="solid">
        <fgColor rgb="FFCCFFCC"/>
        <bgColor indexed="64"/>
      </patternFill>
    </fill>
    <fill>
      <patternFill patternType="solid">
        <fgColor theme="7" tint="0.39997558519241921"/>
        <bgColor indexed="64"/>
      </patternFill>
    </fill>
    <fill>
      <patternFill patternType="solid">
        <fgColor rgb="FFFF7C80"/>
        <bgColor indexed="64"/>
      </patternFill>
    </fill>
    <fill>
      <patternFill patternType="solid">
        <fgColor rgb="FFFFCCFF"/>
        <bgColor indexed="64"/>
      </patternFill>
    </fill>
    <fill>
      <patternFill patternType="solid">
        <fgColor theme="0" tint="-0.499984740745262"/>
        <bgColor indexed="64"/>
      </patternFill>
    </fill>
    <fill>
      <patternFill patternType="solid">
        <fgColor theme="6" tint="0.79998168889431442"/>
        <bgColor indexed="64"/>
      </patternFill>
    </fill>
    <fill>
      <patternFill patternType="solid">
        <fgColor theme="4" tint="0.39997558519241921"/>
        <bgColor indexed="64"/>
      </patternFill>
    </fill>
  </fills>
  <borders count="98">
    <border>
      <left/>
      <right/>
      <top/>
      <bottom/>
      <diagonal/>
    </border>
    <border>
      <left/>
      <right/>
      <top style="medium">
        <color indexed="64"/>
      </top>
      <bottom style="medium">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theme="0" tint="-0.34998626667073579"/>
      </right>
      <top style="medium">
        <color indexed="64"/>
      </top>
      <bottom style="medium">
        <color theme="0" tint="-0.34998626667073579"/>
      </bottom>
      <diagonal/>
    </border>
    <border>
      <left style="medium">
        <color theme="0" tint="-0.34998626667073579"/>
      </left>
      <right style="medium">
        <color indexed="64"/>
      </right>
      <top style="medium">
        <color indexed="64"/>
      </top>
      <bottom style="medium">
        <color theme="0" tint="-0.34998626667073579"/>
      </bottom>
      <diagonal/>
    </border>
    <border>
      <left style="medium">
        <color indexed="64"/>
      </left>
      <right style="medium">
        <color theme="0" tint="-0.34998626667073579"/>
      </right>
      <top style="medium">
        <color theme="0" tint="-0.34998626667073579"/>
      </top>
      <bottom style="medium">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theme="0" tint="-0.34998626667073579"/>
      </left>
      <right style="medium">
        <color indexed="64"/>
      </right>
      <top style="medium">
        <color theme="0" tint="-0.34998626667073579"/>
      </top>
      <bottom style="medium">
        <color theme="0" tint="-0.34998626667073579"/>
      </bottom>
      <diagonal/>
    </border>
    <border>
      <left style="medium">
        <color indexed="64"/>
      </left>
      <right style="medium">
        <color theme="0" tint="-0.34998626667073579"/>
      </right>
      <top style="medium">
        <color theme="0" tint="-0.34998626667073579"/>
      </top>
      <bottom style="medium">
        <color indexed="64"/>
      </bottom>
      <diagonal/>
    </border>
    <border>
      <left style="medium">
        <color theme="0" tint="-0.34998626667073579"/>
      </left>
      <right style="medium">
        <color indexed="64"/>
      </right>
      <top style="medium">
        <color theme="0" tint="-0.34998626667073579"/>
      </top>
      <bottom style="medium">
        <color indexed="64"/>
      </bottom>
      <diagonal/>
    </border>
    <border>
      <left style="medium">
        <color theme="0" tint="-0.34998626667073579"/>
      </left>
      <right style="medium">
        <color theme="0" tint="-0.34998626667073579"/>
      </right>
      <top style="medium">
        <color theme="0" tint="-0.34998626667073579"/>
      </top>
      <bottom style="medium">
        <color indexed="64"/>
      </bottom>
      <diagonal/>
    </border>
    <border>
      <left style="medium">
        <color theme="0" tint="-0.34998626667073579"/>
      </left>
      <right style="medium">
        <color theme="0" tint="-0.34998626667073579"/>
      </right>
      <top/>
      <bottom style="medium">
        <color theme="0" tint="-0.34998626667073579"/>
      </bottom>
      <diagonal/>
    </border>
    <border>
      <left style="medium">
        <color theme="0" tint="-0.34998626667073579"/>
      </left>
      <right style="medium">
        <color indexed="64"/>
      </right>
      <top/>
      <bottom style="medium">
        <color theme="0" tint="-0.34998626667073579"/>
      </bottom>
      <diagonal/>
    </border>
    <border>
      <left style="medium">
        <color theme="0" tint="-0.34998626667073579"/>
      </left>
      <right style="medium">
        <color indexed="64"/>
      </right>
      <top/>
      <bottom style="medium">
        <color indexed="64"/>
      </bottom>
      <diagonal/>
    </border>
    <border>
      <left style="medium">
        <color theme="0" tint="-0.34998626667073579"/>
      </left>
      <right/>
      <top style="medium">
        <color theme="0" tint="-0.34998626667073579"/>
      </top>
      <bottom style="medium">
        <color indexed="64"/>
      </bottom>
      <diagonal/>
    </border>
    <border>
      <left style="medium">
        <color theme="0" tint="-0.34998626667073579"/>
      </left>
      <right/>
      <top style="medium">
        <color indexed="64"/>
      </top>
      <bottom style="medium">
        <color theme="0" tint="-0.34998626667073579"/>
      </bottom>
      <diagonal/>
    </border>
    <border>
      <left style="medium">
        <color indexed="64"/>
      </left>
      <right style="medium">
        <color theme="0" tint="-0.34998626667073579"/>
      </right>
      <top style="medium">
        <color theme="0" tint="-0.34998626667073579"/>
      </top>
      <bottom/>
      <diagonal/>
    </border>
    <border>
      <left style="medium">
        <color theme="0" tint="-0.34998626667073579"/>
      </left>
      <right style="medium">
        <color indexed="64"/>
      </right>
      <top style="medium">
        <color theme="0" tint="-0.34998626667073579"/>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theme="0" tint="-0.34998626667073579"/>
      </bottom>
      <diagonal/>
    </border>
    <border>
      <left/>
      <right style="medium">
        <color theme="0" tint="-0.34998626667073579"/>
      </right>
      <top style="medium">
        <color indexed="64"/>
      </top>
      <bottom style="medium">
        <color theme="0" tint="-0.34998626667073579"/>
      </bottom>
      <diagonal/>
    </border>
    <border>
      <left style="thin">
        <color indexed="64"/>
      </left>
      <right/>
      <top style="medium">
        <color indexed="64"/>
      </top>
      <bottom style="thin">
        <color indexed="64"/>
      </bottom>
      <diagonal/>
    </border>
    <border>
      <left/>
      <right style="medium">
        <color theme="0" tint="-0.34998626667073579"/>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indexed="64"/>
      </bottom>
      <diagonal/>
    </border>
    <border>
      <left style="medium">
        <color indexed="64"/>
      </left>
      <right style="medium">
        <color theme="0" tint="-0.34998626667073579"/>
      </right>
      <top/>
      <bottom style="medium">
        <color theme="0" tint="-0.34998626667073579"/>
      </bottom>
      <diagonal/>
    </border>
    <border>
      <left style="medium">
        <color indexed="64"/>
      </left>
      <right style="medium">
        <color theme="0" tint="-0.34998626667073579"/>
      </right>
      <top/>
      <bottom style="medium">
        <color indexed="64"/>
      </bottom>
      <diagonal/>
    </border>
    <border>
      <left style="medium">
        <color indexed="64"/>
      </left>
      <right style="medium">
        <color theme="0" tint="-0.34998626667073579"/>
      </right>
      <top style="medium">
        <color indexed="64"/>
      </top>
      <bottom style="medium">
        <color indexed="64"/>
      </bottom>
      <diagonal/>
    </border>
    <border>
      <left style="medium">
        <color theme="0" tint="-0.34998626667073579"/>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indexed="64"/>
      </right>
      <top style="medium">
        <color theme="0" tint="-0.34998626667073579"/>
      </top>
      <bottom style="medium">
        <color theme="0" tint="-0.34998626667073579"/>
      </bottom>
      <diagonal/>
    </border>
    <border>
      <left style="medium">
        <color indexed="64"/>
      </left>
      <right/>
      <top style="medium">
        <color theme="0" tint="-0.34998626667073579"/>
      </top>
      <bottom style="medium">
        <color theme="0" tint="-0.34998626667073579"/>
      </bottom>
      <diagonal/>
    </border>
    <border>
      <left/>
      <right/>
      <top style="medium">
        <color indexed="64"/>
      </top>
      <bottom style="medium">
        <color theme="0" tint="-0.34998626667073579"/>
      </bottom>
      <diagonal/>
    </border>
    <border>
      <left/>
      <right style="medium">
        <color indexed="64"/>
      </right>
      <top style="medium">
        <color indexed="64"/>
      </top>
      <bottom style="medium">
        <color theme="0" tint="-0.34998626667073579"/>
      </bottom>
      <diagonal/>
    </border>
    <border>
      <left style="medium">
        <color indexed="64"/>
      </left>
      <right/>
      <top style="medium">
        <color theme="0" tint="-0.34998626667073579"/>
      </top>
      <bottom style="medium">
        <color indexed="64"/>
      </bottom>
      <diagonal/>
    </border>
    <border>
      <left/>
      <right/>
      <top style="medium">
        <color theme="0" tint="-0.34998626667073579"/>
      </top>
      <bottom style="medium">
        <color indexed="64"/>
      </bottom>
      <diagonal/>
    </border>
    <border>
      <left/>
      <right style="medium">
        <color indexed="64"/>
      </right>
      <top style="medium">
        <color theme="0" tint="-0.34998626667073579"/>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right style="thin">
        <color indexed="64"/>
      </right>
      <top style="medium">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style="medium">
        <color indexed="64"/>
      </bottom>
      <diagonal/>
    </border>
    <border>
      <left/>
      <right/>
      <top style="medium">
        <color indexed="64"/>
      </top>
      <bottom style="thin">
        <color indexed="64"/>
      </bottom>
      <diagonal/>
    </border>
    <border>
      <left style="thin">
        <color indexed="64"/>
      </left>
      <right/>
      <top style="medium">
        <color indexed="64"/>
      </top>
      <bottom/>
      <diagonal/>
    </border>
    <border>
      <left style="medium">
        <color indexed="64"/>
      </left>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right style="thin">
        <color indexed="64"/>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medium">
        <color theme="0" tint="-0.34998626667073579"/>
      </left>
      <right style="medium">
        <color theme="0" tint="-0.34998626667073579"/>
      </right>
      <top style="medium">
        <color theme="0" tint="-0.34998626667073579"/>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medium">
        <color indexed="64"/>
      </bottom>
      <diagonal/>
    </border>
  </borders>
  <cellStyleXfs count="6">
    <xf numFmtId="0" fontId="0" fillId="0" borderId="0"/>
    <xf numFmtId="9" fontId="7" fillId="0" borderId="0" applyFont="0" applyFill="0" applyBorder="0" applyAlignment="0" applyProtection="0"/>
    <xf numFmtId="0" fontId="8" fillId="0" borderId="0"/>
    <xf numFmtId="0" fontId="10" fillId="0" borderId="0" applyNumberFormat="0" applyFill="0" applyBorder="0" applyAlignment="0" applyProtection="0"/>
    <xf numFmtId="0" fontId="20" fillId="0" borderId="0"/>
    <xf numFmtId="0" fontId="24" fillId="0" borderId="0"/>
  </cellStyleXfs>
  <cellXfs count="757">
    <xf numFmtId="0" fontId="0" fillId="0" borderId="0" xfId="0"/>
    <xf numFmtId="0" fontId="0" fillId="0" borderId="0" xfId="0" applyAlignment="1">
      <alignment horizontal="center"/>
    </xf>
    <xf numFmtId="0" fontId="0" fillId="0" borderId="0" xfId="0" applyFill="1"/>
    <xf numFmtId="0" fontId="2" fillId="0" borderId="0" xfId="0" applyFont="1"/>
    <xf numFmtId="0" fontId="1" fillId="0" borderId="0" xfId="0" applyFont="1"/>
    <xf numFmtId="0" fontId="0" fillId="0" borderId="0" xfId="0" applyFill="1" applyAlignment="1">
      <alignment horizontal="center"/>
    </xf>
    <xf numFmtId="0" fontId="3" fillId="0" borderId="0" xfId="0" applyFont="1" applyAlignment="1">
      <alignment horizontal="center"/>
    </xf>
    <xf numFmtId="164" fontId="0" fillId="0" borderId="0" xfId="0" applyNumberFormat="1"/>
    <xf numFmtId="2" fontId="0" fillId="0" borderId="0" xfId="0" applyNumberFormat="1"/>
    <xf numFmtId="0" fontId="0" fillId="0" borderId="0" xfId="0" applyBorder="1"/>
    <xf numFmtId="0" fontId="0" fillId="0" borderId="2" xfId="0" applyBorder="1"/>
    <xf numFmtId="164" fontId="0" fillId="0" borderId="16" xfId="0" applyNumberFormat="1" applyBorder="1"/>
    <xf numFmtId="0" fontId="0" fillId="0" borderId="16" xfId="0" applyBorder="1"/>
    <xf numFmtId="0" fontId="9" fillId="0" borderId="0" xfId="0" applyFont="1"/>
    <xf numFmtId="164" fontId="0" fillId="0" borderId="0" xfId="0" applyNumberFormat="1" applyBorder="1"/>
    <xf numFmtId="2" fontId="0" fillId="0" borderId="16" xfId="0" applyNumberFormat="1" applyBorder="1"/>
    <xf numFmtId="0" fontId="10" fillId="0" borderId="0" xfId="3"/>
    <xf numFmtId="0" fontId="1" fillId="0" borderId="0" xfId="0" applyFont="1" applyAlignment="1">
      <alignment horizontal="center"/>
    </xf>
    <xf numFmtId="166" fontId="0" fillId="0" borderId="0" xfId="0" applyNumberFormat="1"/>
    <xf numFmtId="0" fontId="0" fillId="0" borderId="0" xfId="0" quotePrefix="1"/>
    <xf numFmtId="164" fontId="0" fillId="3" borderId="16" xfId="0" applyNumberFormat="1" applyFill="1" applyBorder="1"/>
    <xf numFmtId="0" fontId="11" fillId="0" borderId="0" xfId="0" applyFont="1"/>
    <xf numFmtId="0" fontId="0" fillId="0" borderId="0" xfId="0" applyAlignment="1">
      <alignment horizontal="right"/>
    </xf>
    <xf numFmtId="11" fontId="0" fillId="0" borderId="0" xfId="0" applyNumberFormat="1"/>
    <xf numFmtId="0" fontId="18" fillId="0" borderId="0" xfId="0" applyFont="1" applyAlignment="1">
      <alignment horizontal="center"/>
    </xf>
    <xf numFmtId="0" fontId="11" fillId="0" borderId="0" xfId="4" applyFont="1"/>
    <xf numFmtId="0" fontId="20" fillId="0" borderId="0" xfId="4"/>
    <xf numFmtId="164" fontId="20" fillId="0" borderId="0" xfId="4" applyNumberFormat="1"/>
    <xf numFmtId="0" fontId="20" fillId="0" borderId="0" xfId="4" applyAlignment="1">
      <alignment horizontal="right"/>
    </xf>
    <xf numFmtId="166" fontId="20" fillId="0" borderId="0" xfId="4" applyNumberFormat="1"/>
    <xf numFmtId="167" fontId="20" fillId="0" borderId="0" xfId="4" applyNumberFormat="1"/>
    <xf numFmtId="0" fontId="20" fillId="0" borderId="0" xfId="4" applyFill="1"/>
    <xf numFmtId="2" fontId="20" fillId="0" borderId="0" xfId="4" applyNumberFormat="1"/>
    <xf numFmtId="164" fontId="20" fillId="4" borderId="17" xfId="4" applyNumberFormat="1" applyFill="1" applyBorder="1"/>
    <xf numFmtId="166" fontId="20" fillId="4" borderId="17" xfId="4" applyNumberFormat="1" applyFill="1" applyBorder="1"/>
    <xf numFmtId="14" fontId="20" fillId="0" borderId="0" xfId="0" applyNumberFormat="1" applyFont="1"/>
    <xf numFmtId="0" fontId="21" fillId="0" borderId="0" xfId="0" applyFont="1"/>
    <xf numFmtId="164" fontId="21" fillId="4" borderId="17" xfId="0" applyNumberFormat="1" applyFont="1" applyFill="1" applyBorder="1"/>
    <xf numFmtId="0" fontId="21" fillId="0" borderId="0" xfId="0" applyFont="1" applyAlignment="1">
      <alignment horizontal="right"/>
    </xf>
    <xf numFmtId="166" fontId="21" fillId="0" borderId="0" xfId="0" applyNumberFormat="1" applyFont="1"/>
    <xf numFmtId="166" fontId="21" fillId="4" borderId="17" xfId="0" applyNumberFormat="1" applyFont="1" applyFill="1" applyBorder="1"/>
    <xf numFmtId="164" fontId="21" fillId="0" borderId="0" xfId="0" applyNumberFormat="1" applyFont="1"/>
    <xf numFmtId="167" fontId="21" fillId="0" borderId="0" xfId="0" applyNumberFormat="1" applyFont="1"/>
    <xf numFmtId="0" fontId="21" fillId="0" borderId="0" xfId="0" applyFont="1" applyFill="1"/>
    <xf numFmtId="1" fontId="21" fillId="0" borderId="0" xfId="0" applyNumberFormat="1" applyFont="1" applyFill="1"/>
    <xf numFmtId="11" fontId="21" fillId="0" borderId="0" xfId="0" applyNumberFormat="1" applyFont="1"/>
    <xf numFmtId="2" fontId="21" fillId="0" borderId="0" xfId="0" applyNumberFormat="1" applyFont="1"/>
    <xf numFmtId="0" fontId="20" fillId="0" borderId="0" xfId="4" applyAlignment="1">
      <alignment horizontal="left"/>
    </xf>
    <xf numFmtId="168" fontId="20" fillId="0" borderId="0" xfId="4" applyNumberFormat="1"/>
    <xf numFmtId="166" fontId="20" fillId="4" borderId="17" xfId="4" applyNumberFormat="1" applyFill="1" applyBorder="1" applyProtection="1">
      <protection hidden="1"/>
    </xf>
    <xf numFmtId="0" fontId="20" fillId="0" borderId="0" xfId="4" applyFont="1"/>
    <xf numFmtId="2" fontId="20" fillId="0" borderId="0" xfId="4" applyNumberFormat="1" applyFill="1"/>
    <xf numFmtId="168" fontId="21" fillId="0" borderId="0" xfId="0" applyNumberFormat="1" applyFont="1"/>
    <xf numFmtId="2" fontId="21" fillId="0" borderId="0" xfId="0" applyNumberFormat="1" applyFont="1" applyFill="1"/>
    <xf numFmtId="0" fontId="8" fillId="0" borderId="0" xfId="4" applyFont="1"/>
    <xf numFmtId="0" fontId="0" fillId="0" borderId="3" xfId="0" applyBorder="1"/>
    <xf numFmtId="166" fontId="0" fillId="0" borderId="16" xfId="0" applyNumberFormat="1" applyBorder="1"/>
    <xf numFmtId="1" fontId="0" fillId="0" borderId="0" xfId="0" applyNumberFormat="1"/>
    <xf numFmtId="9" fontId="0" fillId="0" borderId="16" xfId="0" applyNumberFormat="1" applyBorder="1"/>
    <xf numFmtId="0" fontId="0" fillId="0" borderId="0" xfId="0" applyFill="1" applyBorder="1"/>
    <xf numFmtId="0" fontId="0" fillId="0" borderId="16" xfId="0" applyFill="1" applyBorder="1"/>
    <xf numFmtId="166" fontId="0" fillId="0" borderId="0" xfId="0" applyNumberFormat="1" applyAlignment="1">
      <alignment horizontal="right"/>
    </xf>
    <xf numFmtId="0" fontId="0" fillId="0" borderId="4" xfId="0" applyBorder="1"/>
    <xf numFmtId="0" fontId="0" fillId="0" borderId="8" xfId="0" applyBorder="1"/>
    <xf numFmtId="0" fontId="0" fillId="0" borderId="10" xfId="0" applyBorder="1"/>
    <xf numFmtId="0" fontId="0" fillId="0" borderId="11" xfId="0" applyBorder="1"/>
    <xf numFmtId="0" fontId="11" fillId="0" borderId="0" xfId="5" applyFont="1"/>
    <xf numFmtId="0" fontId="24" fillId="0" borderId="0" xfId="5"/>
    <xf numFmtId="0" fontId="24" fillId="0" borderId="0" xfId="5" applyAlignment="1">
      <alignment horizontal="right"/>
    </xf>
    <xf numFmtId="166" fontId="24" fillId="0" borderId="0" xfId="5" applyNumberFormat="1"/>
    <xf numFmtId="2" fontId="24" fillId="0" borderId="0" xfId="5" applyNumberFormat="1"/>
    <xf numFmtId="0" fontId="24" fillId="0" borderId="0" xfId="5" applyFill="1"/>
    <xf numFmtId="0" fontId="24" fillId="0" borderId="0" xfId="5" applyAlignment="1">
      <alignment horizontal="center"/>
    </xf>
    <xf numFmtId="1" fontId="24" fillId="0" borderId="0" xfId="5" applyNumberFormat="1" applyAlignment="1">
      <alignment horizontal="center"/>
    </xf>
    <xf numFmtId="166" fontId="24" fillId="0" borderId="0" xfId="5" applyNumberFormat="1" applyFill="1"/>
    <xf numFmtId="11" fontId="24" fillId="0" borderId="0" xfId="5" applyNumberFormat="1"/>
    <xf numFmtId="166" fontId="24" fillId="0" borderId="0" xfId="5" applyNumberFormat="1" applyBorder="1" applyAlignment="1">
      <alignment horizontal="center"/>
    </xf>
    <xf numFmtId="0" fontId="24" fillId="0" borderId="0" xfId="5" applyBorder="1"/>
    <xf numFmtId="0" fontId="1" fillId="0" borderId="16" xfId="0" applyFont="1" applyBorder="1"/>
    <xf numFmtId="164" fontId="24" fillId="4" borderId="17" xfId="5" applyNumberFormat="1" applyFill="1" applyBorder="1"/>
    <xf numFmtId="166" fontId="24" fillId="4" borderId="17" xfId="5" applyNumberFormat="1" applyFill="1" applyBorder="1"/>
    <xf numFmtId="166" fontId="20" fillId="5" borderId="17" xfId="4" applyNumberFormat="1" applyFill="1" applyBorder="1"/>
    <xf numFmtId="0" fontId="20" fillId="0" borderId="0" xfId="4" applyFill="1" applyBorder="1"/>
    <xf numFmtId="164" fontId="20" fillId="0" borderId="0" xfId="4" applyNumberFormat="1" applyFill="1" applyBorder="1"/>
    <xf numFmtId="0" fontId="11" fillId="0" borderId="0" xfId="4" applyFont="1" applyFill="1"/>
    <xf numFmtId="0" fontId="6" fillId="0" borderId="0" xfId="0" applyFont="1" applyAlignment="1">
      <alignment horizontal="left" vertical="center"/>
    </xf>
    <xf numFmtId="0" fontId="0" fillId="6" borderId="16" xfId="0" applyFill="1" applyBorder="1" applyProtection="1">
      <protection locked="0"/>
    </xf>
    <xf numFmtId="0" fontId="0" fillId="0" borderId="16" xfId="0" applyBorder="1" applyProtection="1">
      <protection locked="0"/>
    </xf>
    <xf numFmtId="166" fontId="0" fillId="6" borderId="16" xfId="0" applyNumberFormat="1" applyFill="1" applyBorder="1" applyProtection="1">
      <protection locked="0"/>
    </xf>
    <xf numFmtId="166" fontId="0" fillId="0" borderId="16" xfId="0" applyNumberFormat="1" applyFill="1" applyBorder="1"/>
    <xf numFmtId="0" fontId="0" fillId="0" borderId="0" xfId="0" applyAlignment="1">
      <alignment wrapText="1"/>
    </xf>
    <xf numFmtId="0" fontId="19" fillId="0" borderId="0" xfId="0" applyFont="1" applyAlignment="1">
      <alignment horizontal="center" wrapText="1"/>
    </xf>
    <xf numFmtId="0" fontId="0" fillId="0" borderId="0" xfId="0" applyAlignment="1">
      <alignment horizontal="center" wrapText="1"/>
    </xf>
    <xf numFmtId="0" fontId="0" fillId="0" borderId="16" xfId="0" applyBorder="1" applyAlignment="1">
      <alignment wrapText="1"/>
    </xf>
    <xf numFmtId="0" fontId="5" fillId="0" borderId="16" xfId="0" applyFont="1" applyBorder="1" applyAlignment="1">
      <alignment horizontal="center" wrapText="1"/>
    </xf>
    <xf numFmtId="0" fontId="5" fillId="0" borderId="0" xfId="0" applyFont="1" applyBorder="1" applyAlignment="1">
      <alignment horizontal="center" wrapText="1"/>
    </xf>
    <xf numFmtId="0" fontId="0" fillId="0" borderId="16" xfId="0" applyBorder="1" applyAlignment="1">
      <alignment horizontal="center" wrapText="1"/>
    </xf>
    <xf numFmtId="166" fontId="0" fillId="6" borderId="16" xfId="0" applyNumberFormat="1" applyFill="1" applyBorder="1" applyAlignment="1" applyProtection="1">
      <alignment wrapText="1"/>
      <protection locked="0"/>
    </xf>
    <xf numFmtId="0" fontId="1" fillId="0" borderId="16" xfId="0" applyFont="1" applyBorder="1" applyAlignment="1">
      <alignment horizontal="center"/>
    </xf>
    <xf numFmtId="0" fontId="0" fillId="7" borderId="16" xfId="0" applyFill="1" applyBorder="1" applyProtection="1">
      <protection locked="0"/>
    </xf>
    <xf numFmtId="0" fontId="0" fillId="0" borderId="0" xfId="0" applyFill="1" applyBorder="1" applyAlignment="1">
      <alignment horizontal="center"/>
    </xf>
    <xf numFmtId="164" fontId="0" fillId="0" borderId="0" xfId="0" applyNumberFormat="1" applyFill="1" applyBorder="1"/>
    <xf numFmtId="0" fontId="1" fillId="0" borderId="0" xfId="0" applyFont="1" applyFill="1" applyBorder="1"/>
    <xf numFmtId="0" fontId="0" fillId="0" borderId="0" xfId="0" applyFill="1" applyBorder="1" applyProtection="1">
      <protection locked="0"/>
    </xf>
    <xf numFmtId="0" fontId="1" fillId="0" borderId="7" xfId="0" applyFont="1" applyBorder="1"/>
    <xf numFmtId="0" fontId="0" fillId="4" borderId="16" xfId="0" applyFill="1" applyBorder="1"/>
    <xf numFmtId="0" fontId="14" fillId="0" borderId="0" xfId="0" applyFont="1"/>
    <xf numFmtId="0" fontId="14" fillId="0" borderId="0" xfId="0" applyFont="1" applyAlignment="1">
      <alignment horizontal="center"/>
    </xf>
    <xf numFmtId="0" fontId="13" fillId="0" borderId="13" xfId="0" applyFont="1" applyBorder="1" applyAlignment="1" applyProtection="1">
      <alignment horizontal="center" vertical="center"/>
    </xf>
    <xf numFmtId="0" fontId="16" fillId="0" borderId="14" xfId="0" applyFont="1" applyBorder="1" applyAlignment="1" applyProtection="1">
      <alignment horizontal="center" vertical="center"/>
    </xf>
    <xf numFmtId="0" fontId="16" fillId="0" borderId="15" xfId="0" applyFont="1" applyBorder="1" applyAlignment="1" applyProtection="1">
      <alignment horizontal="center" vertical="center"/>
    </xf>
    <xf numFmtId="166" fontId="0" fillId="5" borderId="16" xfId="0" applyNumberFormat="1" applyFill="1" applyBorder="1"/>
    <xf numFmtId="1" fontId="0" fillId="0" borderId="2" xfId="0" applyNumberFormat="1" applyBorder="1"/>
    <xf numFmtId="2" fontId="0" fillId="0" borderId="0" xfId="0" applyNumberFormat="1" applyBorder="1"/>
    <xf numFmtId="1" fontId="0" fillId="0" borderId="0" xfId="0" applyNumberFormat="1" applyBorder="1"/>
    <xf numFmtId="2" fontId="0" fillId="0" borderId="3" xfId="0" applyNumberFormat="1" applyBorder="1"/>
    <xf numFmtId="2" fontId="0" fillId="0" borderId="11" xfId="0" applyNumberFormat="1" applyBorder="1"/>
    <xf numFmtId="2" fontId="0" fillId="0" borderId="2" xfId="0" applyNumberFormat="1" applyBorder="1"/>
    <xf numFmtId="164" fontId="0" fillId="0" borderId="8" xfId="0" applyNumberFormat="1" applyBorder="1"/>
    <xf numFmtId="164" fontId="0" fillId="0" borderId="3" xfId="0" applyNumberFormat="1" applyBorder="1"/>
    <xf numFmtId="2" fontId="0" fillId="0" borderId="40" xfId="0" applyNumberFormat="1" applyBorder="1"/>
    <xf numFmtId="2" fontId="0" fillId="0" borderId="39" xfId="0" applyNumberFormat="1" applyBorder="1"/>
    <xf numFmtId="0" fontId="0" fillId="0" borderId="37" xfId="0" applyBorder="1"/>
    <xf numFmtId="0" fontId="1" fillId="0" borderId="64" xfId="0" applyFont="1" applyBorder="1" applyAlignment="1">
      <alignment horizontal="center"/>
    </xf>
    <xf numFmtId="0" fontId="0" fillId="0" borderId="38" xfId="0" applyBorder="1"/>
    <xf numFmtId="0" fontId="0" fillId="0" borderId="41" xfId="0" applyBorder="1"/>
    <xf numFmtId="0" fontId="0" fillId="0" borderId="9" xfId="0" applyBorder="1" applyAlignment="1">
      <alignment horizontal="center"/>
    </xf>
    <xf numFmtId="2" fontId="0" fillId="0" borderId="40" xfId="0" applyNumberFormat="1" applyBorder="1" applyAlignment="1">
      <alignment horizontal="center"/>
    </xf>
    <xf numFmtId="2" fontId="0" fillId="0" borderId="18" xfId="0" applyNumberFormat="1" applyBorder="1"/>
    <xf numFmtId="2" fontId="0" fillId="0" borderId="39" xfId="0" applyNumberFormat="1" applyBorder="1" applyAlignment="1">
      <alignment horizontal="center"/>
    </xf>
    <xf numFmtId="0" fontId="0" fillId="0" borderId="41" xfId="0" applyFill="1" applyBorder="1"/>
    <xf numFmtId="0" fontId="1" fillId="3" borderId="41" xfId="0" applyFont="1" applyFill="1" applyBorder="1"/>
    <xf numFmtId="0" fontId="12" fillId="4" borderId="30" xfId="0" applyFont="1" applyFill="1" applyBorder="1" applyAlignment="1" applyProtection="1">
      <alignment horizontal="center" vertical="center"/>
      <protection locked="0"/>
    </xf>
    <xf numFmtId="3" fontId="12" fillId="4" borderId="25" xfId="0" applyNumberFormat="1" applyFont="1" applyFill="1" applyBorder="1" applyAlignment="1" applyProtection="1">
      <alignment horizontal="center" vertical="center"/>
      <protection locked="0"/>
    </xf>
    <xf numFmtId="3" fontId="12" fillId="4" borderId="25" xfId="0" applyNumberFormat="1" applyFont="1" applyFill="1" applyBorder="1" applyAlignment="1" applyProtection="1">
      <alignment vertical="center"/>
      <protection locked="0"/>
    </xf>
    <xf numFmtId="3" fontId="12" fillId="4" borderId="29" xfId="0" applyNumberFormat="1" applyFont="1" applyFill="1" applyBorder="1" applyAlignment="1" applyProtection="1">
      <alignment vertical="center"/>
      <protection locked="0"/>
    </xf>
    <xf numFmtId="0" fontId="14" fillId="4" borderId="30" xfId="0" applyFont="1" applyFill="1" applyBorder="1" applyAlignment="1" applyProtection="1">
      <alignment horizontal="center" vertical="center"/>
      <protection locked="0"/>
    </xf>
    <xf numFmtId="0" fontId="14" fillId="4" borderId="25" xfId="0" applyFont="1" applyFill="1" applyBorder="1" applyAlignment="1" applyProtection="1">
      <alignment horizontal="center" vertical="center"/>
      <protection locked="0"/>
    </xf>
    <xf numFmtId="3" fontId="12" fillId="7" borderId="30" xfId="0" applyNumberFormat="1" applyFont="1" applyFill="1" applyBorder="1" applyAlignment="1" applyProtection="1">
      <alignment horizontal="center" vertical="center"/>
      <protection locked="0"/>
    </xf>
    <xf numFmtId="9" fontId="12" fillId="7" borderId="30" xfId="1" applyFont="1" applyFill="1" applyBorder="1" applyAlignment="1" applyProtection="1">
      <alignment horizontal="center" vertical="center"/>
      <protection locked="0"/>
    </xf>
    <xf numFmtId="0" fontId="14" fillId="7" borderId="31" xfId="0" applyFont="1" applyFill="1" applyBorder="1" applyAlignment="1" applyProtection="1">
      <alignment horizontal="center" vertical="center"/>
      <protection locked="0"/>
    </xf>
    <xf numFmtId="0" fontId="14" fillId="7" borderId="26" xfId="0" applyFont="1" applyFill="1" applyBorder="1" applyAlignment="1" applyProtection="1">
      <alignment horizontal="center" vertical="center"/>
      <protection locked="0"/>
    </xf>
    <xf numFmtId="0" fontId="12" fillId="7" borderId="26" xfId="0" applyFont="1" applyFill="1" applyBorder="1" applyAlignment="1" applyProtection="1">
      <alignment horizontal="center" vertical="center"/>
      <protection locked="0"/>
    </xf>
    <xf numFmtId="1" fontId="12" fillId="7" borderId="26" xfId="1" applyNumberFormat="1" applyFont="1" applyFill="1" applyBorder="1" applyAlignment="1" applyProtection="1">
      <alignment horizontal="center" vertical="center"/>
      <protection locked="0"/>
    </xf>
    <xf numFmtId="0" fontId="12" fillId="7" borderId="28" xfId="0" applyFont="1" applyFill="1" applyBorder="1" applyAlignment="1" applyProtection="1">
      <alignment horizontal="center" vertical="center"/>
      <protection locked="0"/>
    </xf>
    <xf numFmtId="0" fontId="1" fillId="4" borderId="15" xfId="0" applyFont="1" applyFill="1" applyBorder="1" applyAlignment="1" applyProtection="1">
      <alignment horizontal="center" vertical="center"/>
      <protection locked="0"/>
    </xf>
    <xf numFmtId="0" fontId="0" fillId="7" borderId="26" xfId="0" applyFont="1" applyFill="1" applyBorder="1" applyAlignment="1" applyProtection="1">
      <alignment horizontal="center" vertical="center"/>
      <protection locked="0"/>
    </xf>
    <xf numFmtId="0" fontId="0" fillId="7" borderId="28" xfId="0" applyFont="1" applyFill="1" applyBorder="1" applyAlignment="1" applyProtection="1">
      <alignment horizontal="center" vertical="center"/>
      <protection locked="0"/>
    </xf>
    <xf numFmtId="0" fontId="0" fillId="7" borderId="23" xfId="0" applyFont="1" applyFill="1" applyBorder="1" applyAlignment="1" applyProtection="1">
      <alignment horizontal="center" vertical="center"/>
      <protection locked="0"/>
    </xf>
    <xf numFmtId="0" fontId="9" fillId="7" borderId="26" xfId="0" applyFont="1" applyFill="1" applyBorder="1" applyAlignment="1" applyProtection="1">
      <alignment horizontal="center" vertical="center"/>
      <protection locked="0"/>
    </xf>
    <xf numFmtId="0" fontId="0" fillId="4" borderId="28" xfId="0" applyFont="1" applyFill="1" applyBorder="1" applyAlignment="1" applyProtection="1">
      <alignment horizontal="center" vertical="center"/>
      <protection locked="0"/>
    </xf>
    <xf numFmtId="0" fontId="0" fillId="3" borderId="26" xfId="0" applyFont="1" applyFill="1" applyBorder="1" applyAlignment="1" applyProtection="1">
      <alignment horizontal="center" vertical="center"/>
    </xf>
    <xf numFmtId="0" fontId="0" fillId="7" borderId="16" xfId="0" applyFill="1" applyBorder="1"/>
    <xf numFmtId="0" fontId="0" fillId="3" borderId="16" xfId="0" applyFill="1" applyBorder="1"/>
    <xf numFmtId="0" fontId="4" fillId="0" borderId="0" xfId="0" applyFont="1" applyBorder="1" applyAlignment="1" applyProtection="1">
      <alignment horizontal="center"/>
    </xf>
    <xf numFmtId="0" fontId="0" fillId="0" borderId="0" xfId="0" applyFont="1" applyFill="1" applyBorder="1" applyAlignment="1" applyProtection="1">
      <alignment horizontal="center" vertical="center"/>
    </xf>
    <xf numFmtId="0" fontId="0" fillId="0" borderId="51" xfId="0" applyFont="1" applyBorder="1" applyAlignment="1" applyProtection="1">
      <alignment horizontal="left"/>
    </xf>
    <xf numFmtId="0" fontId="0" fillId="0" borderId="16" xfId="0" applyFont="1" applyBorder="1" applyAlignment="1" applyProtection="1">
      <alignment horizontal="left"/>
    </xf>
    <xf numFmtId="0" fontId="0" fillId="0" borderId="39" xfId="0" applyFont="1" applyFill="1" applyBorder="1" applyAlignment="1" applyProtection="1">
      <alignment horizontal="center"/>
    </xf>
    <xf numFmtId="0" fontId="9" fillId="0" borderId="37" xfId="0" applyFont="1" applyBorder="1" applyAlignment="1" applyProtection="1">
      <alignment horizontal="center"/>
    </xf>
    <xf numFmtId="164" fontId="9" fillId="0" borderId="51" xfId="0" applyNumberFormat="1" applyFont="1" applyBorder="1" applyAlignment="1" applyProtection="1">
      <alignment horizontal="right"/>
    </xf>
    <xf numFmtId="2" fontId="9" fillId="0" borderId="51" xfId="0" applyNumberFormat="1" applyFont="1" applyBorder="1" applyAlignment="1" applyProtection="1">
      <alignment horizontal="right"/>
    </xf>
    <xf numFmtId="2" fontId="9" fillId="0" borderId="64" xfId="0" applyNumberFormat="1" applyFont="1" applyBorder="1" applyAlignment="1" applyProtection="1">
      <alignment horizontal="right"/>
    </xf>
    <xf numFmtId="0" fontId="9" fillId="0" borderId="41" xfId="0" applyFont="1" applyBorder="1" applyAlignment="1" applyProtection="1">
      <alignment horizontal="center"/>
    </xf>
    <xf numFmtId="164" fontId="9" fillId="0" borderId="16" xfId="0" applyNumberFormat="1" applyFont="1" applyBorder="1" applyAlignment="1" applyProtection="1">
      <alignment horizontal="right"/>
    </xf>
    <xf numFmtId="2" fontId="9" fillId="0" borderId="16" xfId="0" applyNumberFormat="1" applyFont="1" applyBorder="1" applyAlignment="1" applyProtection="1">
      <alignment horizontal="right"/>
    </xf>
    <xf numFmtId="2" fontId="9" fillId="0" borderId="40" xfId="0" applyNumberFormat="1" applyFont="1" applyBorder="1" applyAlignment="1" applyProtection="1">
      <alignment horizontal="right"/>
    </xf>
    <xf numFmtId="0" fontId="9" fillId="0" borderId="41" xfId="0" applyFont="1" applyFill="1" applyBorder="1" applyAlignment="1" applyProtection="1">
      <alignment horizontal="center"/>
    </xf>
    <xf numFmtId="0" fontId="9" fillId="0" borderId="38" xfId="0" applyFont="1" applyBorder="1" applyAlignment="1" applyProtection="1">
      <alignment horizontal="center"/>
    </xf>
    <xf numFmtId="164" fontId="9" fillId="0" borderId="18" xfId="0" applyNumberFormat="1" applyFont="1" applyBorder="1" applyAlignment="1" applyProtection="1">
      <alignment horizontal="right"/>
    </xf>
    <xf numFmtId="2" fontId="9" fillId="0" borderId="18" xfId="0" applyNumberFormat="1" applyFont="1" applyBorder="1" applyAlignment="1" applyProtection="1">
      <alignment horizontal="right"/>
    </xf>
    <xf numFmtId="2" fontId="9" fillId="0" borderId="39" xfId="0" applyNumberFormat="1" applyFont="1" applyBorder="1" applyAlignment="1" applyProtection="1">
      <alignment horizontal="right"/>
    </xf>
    <xf numFmtId="0" fontId="16" fillId="0" borderId="37" xfId="0" applyFont="1" applyBorder="1" applyAlignment="1" applyProtection="1">
      <alignment horizontal="right"/>
    </xf>
    <xf numFmtId="0" fontId="16" fillId="0" borderId="41" xfId="0" applyFont="1" applyBorder="1" applyAlignment="1" applyProtection="1">
      <alignment horizontal="right"/>
    </xf>
    <xf numFmtId="0" fontId="13" fillId="0" borderId="38" xfId="0" applyFont="1" applyBorder="1" applyAlignment="1" applyProtection="1">
      <alignment horizontal="right"/>
    </xf>
    <xf numFmtId="0" fontId="16" fillId="0" borderId="20" xfId="0" applyFont="1" applyBorder="1" applyAlignment="1" applyProtection="1">
      <alignment horizontal="right"/>
    </xf>
    <xf numFmtId="0" fontId="16" fillId="0" borderId="66" xfId="0" applyFont="1" applyBorder="1" applyAlignment="1" applyProtection="1">
      <alignment horizontal="right"/>
    </xf>
    <xf numFmtId="0" fontId="13" fillId="0" borderId="69" xfId="0" applyFont="1" applyBorder="1" applyAlignment="1" applyProtection="1">
      <alignment horizontal="right"/>
    </xf>
    <xf numFmtId="0" fontId="0" fillId="0" borderId="61" xfId="0" applyBorder="1" applyAlignment="1">
      <alignment horizontal="center"/>
    </xf>
    <xf numFmtId="0" fontId="0" fillId="0" borderId="63" xfId="0" applyBorder="1" applyAlignment="1">
      <alignment horizontal="center"/>
    </xf>
    <xf numFmtId="0" fontId="0" fillId="0" borderId="62" xfId="0" applyBorder="1" applyAlignment="1">
      <alignment horizontal="center"/>
    </xf>
    <xf numFmtId="0" fontId="0" fillId="0" borderId="17" xfId="0" applyBorder="1" applyAlignment="1">
      <alignment horizontal="center"/>
    </xf>
    <xf numFmtId="0" fontId="0" fillId="0" borderId="64" xfId="0" applyFont="1" applyFill="1" applyBorder="1" applyAlignment="1" applyProtection="1">
      <alignment horizontal="left"/>
    </xf>
    <xf numFmtId="0" fontId="0" fillId="0" borderId="40" xfId="0" applyFont="1" applyFill="1" applyBorder="1" applyAlignment="1" applyProtection="1">
      <alignment horizontal="left"/>
    </xf>
    <xf numFmtId="0" fontId="0" fillId="0" borderId="64" xfId="0" applyFont="1" applyFill="1" applyBorder="1" applyAlignment="1" applyProtection="1">
      <alignment horizontal="center" vertical="center"/>
    </xf>
    <xf numFmtId="0" fontId="0" fillId="0" borderId="0" xfId="0" applyProtection="1"/>
    <xf numFmtId="0" fontId="3" fillId="2" borderId="5" xfId="0" applyFont="1" applyFill="1" applyBorder="1" applyAlignment="1" applyProtection="1"/>
    <xf numFmtId="0" fontId="3" fillId="2" borderId="1" xfId="0" applyFont="1" applyFill="1" applyBorder="1" applyAlignment="1" applyProtection="1"/>
    <xf numFmtId="0" fontId="3" fillId="2" borderId="6" xfId="0" applyFont="1" applyFill="1" applyBorder="1" applyAlignment="1" applyProtection="1"/>
    <xf numFmtId="0" fontId="3" fillId="2" borderId="0" xfId="0" applyFont="1" applyFill="1" applyBorder="1" applyAlignment="1" applyProtection="1"/>
    <xf numFmtId="0" fontId="17" fillId="0" borderId="0" xfId="0" applyFont="1" applyBorder="1" applyAlignment="1" applyProtection="1"/>
    <xf numFmtId="0" fontId="0" fillId="0" borderId="0" xfId="0" applyFill="1" applyBorder="1" applyProtection="1"/>
    <xf numFmtId="0" fontId="16" fillId="0" borderId="0" xfId="0" applyFont="1" applyFill="1" applyBorder="1" applyAlignment="1" applyProtection="1">
      <alignment horizontal="center" vertical="center"/>
    </xf>
    <xf numFmtId="0" fontId="0" fillId="0" borderId="0" xfId="0" applyAlignment="1" applyProtection="1">
      <alignment vertical="center"/>
    </xf>
    <xf numFmtId="0" fontId="0" fillId="0" borderId="0" xfId="0" applyBorder="1" applyProtection="1"/>
    <xf numFmtId="0" fontId="0" fillId="0" borderId="0" xfId="0" applyFont="1" applyFill="1" applyBorder="1" applyAlignment="1" applyProtection="1">
      <alignment horizontal="left" vertical="center"/>
    </xf>
    <xf numFmtId="0" fontId="9" fillId="0" borderId="0" xfId="0" applyFont="1" applyFill="1" applyBorder="1" applyAlignment="1" applyProtection="1">
      <alignment horizontal="center" vertical="center"/>
    </xf>
    <xf numFmtId="2" fontId="9" fillId="0" borderId="0" xfId="0" applyNumberFormat="1" applyFont="1" applyFill="1" applyBorder="1" applyAlignment="1" applyProtection="1">
      <alignment horizontal="center" vertical="center"/>
    </xf>
    <xf numFmtId="1" fontId="0" fillId="0" borderId="0" xfId="0" applyNumberFormat="1" applyFont="1" applyFill="1" applyBorder="1" applyAlignment="1" applyProtection="1">
      <alignment horizontal="center" vertical="center"/>
    </xf>
    <xf numFmtId="0" fontId="0" fillId="0" borderId="0" xfId="0" applyFont="1" applyProtection="1"/>
    <xf numFmtId="0" fontId="0" fillId="0" borderId="44" xfId="0" applyFont="1" applyBorder="1" applyProtection="1"/>
    <xf numFmtId="0" fontId="0" fillId="0" borderId="19" xfId="0" applyFont="1" applyBorder="1" applyProtection="1"/>
    <xf numFmtId="0" fontId="0" fillId="0" borderId="70" xfId="0" applyFont="1" applyBorder="1" applyProtection="1"/>
    <xf numFmtId="1" fontId="0" fillId="3" borderId="50" xfId="0" applyNumberFormat="1" applyFont="1" applyFill="1" applyBorder="1" applyAlignment="1" applyProtection="1">
      <alignment horizontal="center" vertical="center"/>
    </xf>
    <xf numFmtId="0" fontId="17" fillId="0" borderId="4" xfId="0" applyFont="1" applyBorder="1" applyAlignment="1" applyProtection="1"/>
    <xf numFmtId="0" fontId="1" fillId="0" borderId="13" xfId="0" applyFont="1" applyBorder="1" applyAlignment="1" applyProtection="1">
      <alignment vertical="center"/>
    </xf>
    <xf numFmtId="0" fontId="1" fillId="0" borderId="22" xfId="0" applyFont="1" applyFill="1" applyBorder="1" applyAlignment="1" applyProtection="1">
      <alignment horizontal="left" vertical="center"/>
    </xf>
    <xf numFmtId="0" fontId="0" fillId="0" borderId="24" xfId="0" applyFont="1" applyFill="1" applyBorder="1" applyAlignment="1" applyProtection="1">
      <alignment horizontal="left" vertical="center"/>
    </xf>
    <xf numFmtId="0" fontId="0" fillId="0" borderId="27" xfId="0" applyFont="1" applyFill="1" applyBorder="1" applyAlignment="1" applyProtection="1">
      <alignment horizontal="left" vertical="center"/>
    </xf>
    <xf numFmtId="0" fontId="0" fillId="0" borderId="49" xfId="0" applyFont="1" applyFill="1" applyBorder="1" applyAlignment="1" applyProtection="1">
      <alignment horizontal="left" vertical="center"/>
    </xf>
    <xf numFmtId="0" fontId="12" fillId="0" borderId="47" xfId="0" applyFont="1" applyBorder="1" applyAlignment="1" applyProtection="1">
      <alignment horizontal="center" vertical="center"/>
    </xf>
    <xf numFmtId="0" fontId="12" fillId="0" borderId="24" xfId="0" applyFont="1" applyBorder="1" applyAlignment="1" applyProtection="1">
      <alignment horizontal="center" vertical="center"/>
    </xf>
    <xf numFmtId="0" fontId="12" fillId="0" borderId="27" xfId="0" applyFont="1" applyBorder="1" applyAlignment="1" applyProtection="1">
      <alignment horizontal="center" vertical="center"/>
    </xf>
    <xf numFmtId="0" fontId="0" fillId="0" borderId="16" xfId="0" applyFont="1" applyBorder="1" applyAlignment="1" applyProtection="1">
      <alignment horizontal="center"/>
    </xf>
    <xf numFmtId="0" fontId="0" fillId="0" borderId="18" xfId="0" applyFont="1" applyBorder="1" applyAlignment="1" applyProtection="1">
      <alignment horizontal="center"/>
    </xf>
    <xf numFmtId="0" fontId="0" fillId="0" borderId="0" xfId="0" applyAlignment="1">
      <alignment horizontal="left"/>
    </xf>
    <xf numFmtId="0" fontId="0" fillId="0" borderId="0" xfId="0" applyFont="1" applyAlignment="1">
      <alignment horizontal="center"/>
    </xf>
    <xf numFmtId="0" fontId="0" fillId="0" borderId="0" xfId="0" quotePrefix="1" applyAlignment="1">
      <alignment horizontal="center"/>
    </xf>
    <xf numFmtId="2" fontId="0" fillId="0" borderId="0" xfId="0" applyNumberFormat="1" applyAlignment="1">
      <alignment horizontal="center"/>
    </xf>
    <xf numFmtId="164" fontId="0" fillId="0" borderId="0" xfId="0" applyNumberFormat="1" applyAlignment="1">
      <alignment horizontal="center"/>
    </xf>
    <xf numFmtId="166" fontId="0" fillId="0" borderId="0" xfId="0" applyNumberFormat="1" applyFill="1" applyBorder="1"/>
    <xf numFmtId="0" fontId="0" fillId="0" borderId="0" xfId="0" applyFill="1" applyBorder="1" applyAlignment="1">
      <alignment wrapText="1"/>
    </xf>
    <xf numFmtId="166" fontId="0" fillId="0" borderId="0" xfId="0" applyNumberFormat="1" applyFill="1" applyBorder="1" applyProtection="1">
      <protection locked="0"/>
    </xf>
    <xf numFmtId="0" fontId="1" fillId="0" borderId="0" xfId="0" applyFont="1" applyBorder="1"/>
    <xf numFmtId="166" fontId="0" fillId="0" borderId="0" xfId="0" applyNumberFormat="1" applyFill="1" applyBorder="1" applyAlignment="1" applyProtection="1">
      <alignment wrapText="1"/>
      <protection locked="0"/>
    </xf>
    <xf numFmtId="0" fontId="1" fillId="0" borderId="0" xfId="0" applyFont="1" applyFill="1" applyBorder="1" applyAlignment="1">
      <alignment horizontal="right"/>
    </xf>
    <xf numFmtId="167" fontId="0" fillId="0" borderId="0" xfId="0" applyNumberFormat="1" applyFill="1" applyBorder="1"/>
    <xf numFmtId="164" fontId="1" fillId="0" borderId="0" xfId="0" applyNumberFormat="1" applyFont="1" applyBorder="1"/>
    <xf numFmtId="0" fontId="0" fillId="0" borderId="16" xfId="0" applyBorder="1" applyAlignment="1">
      <alignment horizontal="center"/>
    </xf>
    <xf numFmtId="2" fontId="0" fillId="0" borderId="16" xfId="0" applyNumberFormat="1" applyBorder="1" applyAlignment="1">
      <alignment horizontal="center"/>
    </xf>
    <xf numFmtId="0" fontId="21" fillId="0" borderId="0" xfId="0" applyFont="1" applyFill="1" applyBorder="1" applyAlignment="1" applyProtection="1">
      <alignment vertical="center" wrapText="1"/>
      <protection locked="0"/>
    </xf>
    <xf numFmtId="0" fontId="21" fillId="0" borderId="0" xfId="0" applyFont="1" applyFill="1" applyBorder="1" applyAlignment="1" applyProtection="1">
      <alignment vertical="top" wrapText="1"/>
      <protection locked="0"/>
    </xf>
    <xf numFmtId="0" fontId="0" fillId="0" borderId="0" xfId="0" applyBorder="1" applyAlignment="1">
      <alignment vertical="center" wrapText="1"/>
    </xf>
    <xf numFmtId="0" fontId="14" fillId="0" borderId="16" xfId="0" applyFont="1" applyFill="1" applyBorder="1" applyAlignment="1"/>
    <xf numFmtId="0" fontId="14" fillId="0" borderId="16" xfId="0" applyFont="1" applyBorder="1"/>
    <xf numFmtId="2" fontId="0" fillId="0" borderId="0" xfId="0" applyNumberFormat="1" applyFont="1" applyAlignment="1">
      <alignment horizontal="right"/>
    </xf>
    <xf numFmtId="2" fontId="0" fillId="0" borderId="0" xfId="0" applyNumberFormat="1" applyAlignment="1">
      <alignment horizontal="right"/>
    </xf>
    <xf numFmtId="0" fontId="1" fillId="0" borderId="0" xfId="0" applyFont="1" applyFill="1" applyBorder="1" applyAlignment="1">
      <alignment horizontal="center"/>
    </xf>
    <xf numFmtId="164" fontId="0" fillId="5" borderId="16" xfId="0" applyNumberFormat="1" applyFill="1" applyBorder="1"/>
    <xf numFmtId="166" fontId="0" fillId="0" borderId="16" xfId="0" applyNumberFormat="1" applyBorder="1" applyAlignment="1">
      <alignment horizontal="center"/>
    </xf>
    <xf numFmtId="164" fontId="0" fillId="0" borderId="16" xfId="0" applyNumberFormat="1" applyBorder="1" applyAlignment="1">
      <alignment horizontal="center"/>
    </xf>
    <xf numFmtId="0" fontId="0" fillId="5" borderId="16" xfId="0" applyFill="1" applyBorder="1" applyAlignment="1">
      <alignment horizontal="center"/>
    </xf>
    <xf numFmtId="2" fontId="0" fillId="0" borderId="16" xfId="0" applyNumberFormat="1" applyFill="1" applyBorder="1"/>
    <xf numFmtId="164" fontId="0" fillId="0" borderId="16" xfId="0" applyNumberFormat="1" applyFill="1" applyBorder="1"/>
    <xf numFmtId="2" fontId="0" fillId="4" borderId="16" xfId="0" applyNumberFormat="1" applyFill="1" applyBorder="1"/>
    <xf numFmtId="2" fontId="0" fillId="0" borderId="0" xfId="0" applyNumberFormat="1" applyFill="1" applyAlignment="1">
      <alignment horizontal="right"/>
    </xf>
    <xf numFmtId="2" fontId="0" fillId="7" borderId="0" xfId="0" applyNumberFormat="1" applyFill="1" applyAlignment="1">
      <alignment horizontal="right"/>
    </xf>
    <xf numFmtId="0" fontId="27" fillId="0" borderId="0" xfId="0" applyFont="1"/>
    <xf numFmtId="14" fontId="8" fillId="0" borderId="0" xfId="5" quotePrefix="1" applyNumberFormat="1" applyFont="1" applyAlignment="1">
      <alignment horizontal="left"/>
    </xf>
    <xf numFmtId="0" fontId="8" fillId="0" borderId="0" xfId="5" applyFont="1"/>
    <xf numFmtId="166" fontId="0" fillId="0" borderId="0" xfId="0" applyNumberFormat="1" applyFill="1"/>
    <xf numFmtId="0" fontId="14" fillId="0" borderId="16" xfId="0" applyFont="1" applyFill="1" applyBorder="1" applyAlignment="1" applyProtection="1">
      <alignment horizontal="center" vertical="center"/>
    </xf>
    <xf numFmtId="0" fontId="21" fillId="0" borderId="16" xfId="0" applyFont="1" applyFill="1" applyBorder="1" applyAlignment="1" applyProtection="1">
      <alignment vertical="center" wrapText="1"/>
    </xf>
    <xf numFmtId="166" fontId="21" fillId="9" borderId="17" xfId="0" applyNumberFormat="1" applyFont="1" applyFill="1" applyBorder="1"/>
    <xf numFmtId="166" fontId="20" fillId="9" borderId="17" xfId="4" applyNumberFormat="1" applyFill="1" applyBorder="1"/>
    <xf numFmtId="0" fontId="0" fillId="0" borderId="16" xfId="0" quotePrefix="1" applyBorder="1"/>
    <xf numFmtId="166" fontId="20" fillId="8" borderId="17" xfId="4" applyNumberFormat="1" applyFill="1" applyBorder="1"/>
    <xf numFmtId="0" fontId="0" fillId="8" borderId="16" xfId="0" applyFill="1" applyBorder="1"/>
    <xf numFmtId="0" fontId="1" fillId="8" borderId="16" xfId="0" applyFont="1" applyFill="1" applyBorder="1" applyAlignment="1">
      <alignment horizontal="center"/>
    </xf>
    <xf numFmtId="0" fontId="6" fillId="0" borderId="0" xfId="0" applyFont="1" applyFill="1" applyAlignment="1">
      <alignment horizontal="left" vertical="center"/>
    </xf>
    <xf numFmtId="0" fontId="28" fillId="0" borderId="0" xfId="0" applyFont="1" applyAlignment="1">
      <alignment horizontal="left" vertical="center" readingOrder="1"/>
    </xf>
    <xf numFmtId="0" fontId="0" fillId="8" borderId="16" xfId="0" applyFill="1" applyBorder="1" applyAlignment="1">
      <alignment horizontal="center"/>
    </xf>
    <xf numFmtId="164" fontId="0" fillId="0" borderId="39" xfId="0" applyNumberFormat="1" applyFont="1" applyFill="1" applyBorder="1" applyAlignment="1" applyProtection="1">
      <alignment horizontal="center" vertical="center"/>
    </xf>
    <xf numFmtId="0" fontId="6" fillId="0" borderId="0" xfId="0" applyFont="1" applyFill="1" applyAlignment="1">
      <alignment horizontal="left"/>
    </xf>
    <xf numFmtId="166" fontId="0" fillId="4" borderId="16" xfId="0" applyNumberFormat="1" applyFill="1" applyBorder="1"/>
    <xf numFmtId="166" fontId="0" fillId="4" borderId="16" xfId="0" applyNumberFormat="1" applyFill="1" applyBorder="1" applyAlignment="1">
      <alignment horizontal="center"/>
    </xf>
    <xf numFmtId="166" fontId="0" fillId="8" borderId="16" xfId="0" applyNumberFormat="1" applyFill="1" applyBorder="1"/>
    <xf numFmtId="14" fontId="8" fillId="0" borderId="0" xfId="4" applyNumberFormat="1" applyFont="1"/>
    <xf numFmtId="0" fontId="8" fillId="0" borderId="0" xfId="5" applyFont="1" applyAlignment="1">
      <alignment horizontal="center"/>
    </xf>
    <xf numFmtId="14" fontId="20" fillId="0" borderId="0" xfId="4" applyNumberFormat="1" applyFont="1" applyFill="1"/>
    <xf numFmtId="0" fontId="8" fillId="0" borderId="0" xfId="4" applyFont="1" applyFill="1"/>
    <xf numFmtId="0" fontId="20" fillId="0" borderId="0" xfId="4" applyFont="1" applyFill="1"/>
    <xf numFmtId="14" fontId="20" fillId="0" borderId="0" xfId="0" applyNumberFormat="1" applyFont="1" applyFill="1"/>
    <xf numFmtId="9" fontId="8" fillId="0" borderId="0" xfId="4" applyNumberFormat="1" applyFont="1" applyFill="1" applyAlignment="1">
      <alignment horizontal="left"/>
    </xf>
    <xf numFmtId="0" fontId="21" fillId="0" borderId="0" xfId="0" applyFont="1" applyAlignment="1">
      <alignment horizontal="center"/>
    </xf>
    <xf numFmtId="0" fontId="8" fillId="0" borderId="0" xfId="4" applyFont="1" applyAlignment="1">
      <alignment horizontal="center"/>
    </xf>
    <xf numFmtId="0" fontId="20" fillId="0" borderId="0" xfId="4" applyAlignment="1">
      <alignment horizontal="center"/>
    </xf>
    <xf numFmtId="166" fontId="20" fillId="5" borderId="16" xfId="4" applyNumberFormat="1" applyFill="1" applyBorder="1"/>
    <xf numFmtId="166" fontId="20" fillId="0" borderId="0" xfId="4" applyNumberFormat="1" applyFill="1" applyBorder="1"/>
    <xf numFmtId="0" fontId="8" fillId="0" borderId="0" xfId="4" applyFont="1" applyFill="1" applyBorder="1"/>
    <xf numFmtId="166" fontId="0" fillId="4" borderId="0" xfId="0" applyNumberFormat="1" applyFill="1"/>
    <xf numFmtId="0" fontId="0" fillId="0" borderId="72" xfId="0" applyBorder="1"/>
    <xf numFmtId="0" fontId="1" fillId="0" borderId="72" xfId="0" applyFont="1" applyBorder="1"/>
    <xf numFmtId="0" fontId="1" fillId="0" borderId="72" xfId="0" applyFont="1" applyBorder="1" applyAlignment="1">
      <alignment horizontal="center"/>
    </xf>
    <xf numFmtId="0" fontId="0" fillId="0" borderId="72" xfId="0" applyBorder="1" applyAlignment="1">
      <alignment horizontal="center"/>
    </xf>
    <xf numFmtId="166" fontId="0" fillId="0" borderId="0" xfId="0" applyNumberFormat="1" applyAlignment="1">
      <alignment horizontal="center"/>
    </xf>
    <xf numFmtId="0" fontId="0" fillId="0" borderId="72" xfId="0" quotePrefix="1" applyBorder="1" applyAlignment="1">
      <alignment horizontal="center"/>
    </xf>
    <xf numFmtId="166" fontId="0" fillId="0" borderId="72" xfId="0" applyNumberFormat="1" applyBorder="1" applyAlignment="1">
      <alignment horizontal="center"/>
    </xf>
    <xf numFmtId="0" fontId="0" fillId="0" borderId="72" xfId="0" applyFont="1" applyBorder="1"/>
    <xf numFmtId="0" fontId="0" fillId="0" borderId="72" xfId="0" applyFont="1" applyBorder="1" applyAlignment="1">
      <alignment horizontal="center"/>
    </xf>
    <xf numFmtId="0" fontId="0" fillId="0" borderId="72" xfId="0" quotePrefix="1" applyFont="1" applyBorder="1" applyAlignment="1">
      <alignment horizontal="center"/>
    </xf>
    <xf numFmtId="166" fontId="0" fillId="0" borderId="72" xfId="0" applyNumberFormat="1" applyFont="1" applyBorder="1" applyAlignment="1">
      <alignment horizontal="center"/>
    </xf>
    <xf numFmtId="0" fontId="0" fillId="0" borderId="71" xfId="0" applyBorder="1"/>
    <xf numFmtId="0" fontId="0" fillId="0" borderId="71" xfId="0" applyBorder="1" applyAlignment="1">
      <alignment horizontal="center"/>
    </xf>
    <xf numFmtId="17" fontId="0" fillId="0" borderId="0" xfId="0" quotePrefix="1" applyNumberFormat="1"/>
    <xf numFmtId="3" fontId="12" fillId="0" borderId="0" xfId="0" applyNumberFormat="1" applyFont="1" applyFill="1" applyBorder="1" applyAlignment="1" applyProtection="1">
      <alignment horizontal="center" vertical="center"/>
      <protection locked="0"/>
    </xf>
    <xf numFmtId="0" fontId="9" fillId="0" borderId="0" xfId="0" applyFont="1" applyFill="1" applyAlignment="1"/>
    <xf numFmtId="0" fontId="21" fillId="0" borderId="16" xfId="0" applyFont="1" applyBorder="1"/>
    <xf numFmtId="168" fontId="0" fillId="0" borderId="0" xfId="0" applyNumberFormat="1"/>
    <xf numFmtId="168" fontId="0" fillId="0" borderId="0" xfId="0" applyNumberFormat="1" applyFill="1"/>
    <xf numFmtId="0" fontId="21" fillId="8" borderId="16" xfId="0" applyFont="1" applyFill="1" applyBorder="1"/>
    <xf numFmtId="2" fontId="21" fillId="0" borderId="16" xfId="0" applyNumberFormat="1" applyFont="1" applyBorder="1"/>
    <xf numFmtId="1" fontId="21" fillId="0" borderId="0" xfId="0" applyNumberFormat="1" applyFont="1"/>
    <xf numFmtId="0" fontId="24" fillId="0" borderId="0" xfId="5" applyFill="1" applyBorder="1"/>
    <xf numFmtId="0" fontId="24" fillId="0" borderId="0" xfId="5" applyFill="1" applyBorder="1" applyAlignment="1">
      <alignment horizontal="center"/>
    </xf>
    <xf numFmtId="1" fontId="24" fillId="0" borderId="0" xfId="5" applyNumberFormat="1" applyFill="1" applyBorder="1" applyAlignment="1">
      <alignment horizontal="center"/>
    </xf>
    <xf numFmtId="11" fontId="24" fillId="0" borderId="0" xfId="5" applyNumberFormat="1" applyFill="1" applyBorder="1"/>
    <xf numFmtId="166" fontId="24" fillId="0" borderId="0" xfId="5" applyNumberFormat="1" applyFill="1" applyBorder="1"/>
    <xf numFmtId="168" fontId="24" fillId="0" borderId="0" xfId="5" applyNumberFormat="1"/>
    <xf numFmtId="166" fontId="0" fillId="0" borderId="0" xfId="0" applyNumberFormat="1" applyBorder="1"/>
    <xf numFmtId="0" fontId="28" fillId="0" borderId="0" xfId="4" applyFont="1" applyFill="1" applyBorder="1"/>
    <xf numFmtId="0" fontId="28" fillId="0" borderId="0" xfId="4" applyFont="1"/>
    <xf numFmtId="2" fontId="20" fillId="0" borderId="0" xfId="4" applyNumberFormat="1" applyAlignment="1">
      <alignment horizontal="center"/>
    </xf>
    <xf numFmtId="166" fontId="20" fillId="0" borderId="0" xfId="4" applyNumberFormat="1" applyAlignment="1">
      <alignment horizontal="center"/>
    </xf>
    <xf numFmtId="2" fontId="0" fillId="4" borderId="0" xfId="0" applyNumberFormat="1" applyFill="1"/>
    <xf numFmtId="164" fontId="0" fillId="6" borderId="16" xfId="0" applyNumberFormat="1" applyFill="1" applyBorder="1" applyProtection="1">
      <protection locked="0"/>
    </xf>
    <xf numFmtId="166" fontId="24" fillId="9" borderId="17" xfId="5" applyNumberFormat="1" applyFill="1" applyBorder="1"/>
    <xf numFmtId="0" fontId="16" fillId="0" borderId="14" xfId="0" applyFont="1" applyBorder="1" applyAlignment="1" applyProtection="1">
      <alignment horizontal="center" vertical="center"/>
    </xf>
    <xf numFmtId="168" fontId="0" fillId="0" borderId="0" xfId="0" applyNumberFormat="1" applyAlignment="1">
      <alignment horizontal="right"/>
    </xf>
    <xf numFmtId="168" fontId="9" fillId="0" borderId="0" xfId="0" applyNumberFormat="1" applyFont="1" applyFill="1" applyAlignment="1">
      <alignment horizontal="right"/>
    </xf>
    <xf numFmtId="168" fontId="0" fillId="0" borderId="0" xfId="0" applyNumberFormat="1" applyFont="1" applyAlignment="1">
      <alignment horizontal="right"/>
    </xf>
    <xf numFmtId="164" fontId="0" fillId="0" borderId="16" xfId="0" applyNumberFormat="1" applyFill="1" applyBorder="1" applyProtection="1"/>
    <xf numFmtId="0" fontId="6" fillId="0" borderId="0" xfId="0" applyFont="1"/>
    <xf numFmtId="0" fontId="29" fillId="0" borderId="0" xfId="0" applyFont="1" applyFill="1"/>
    <xf numFmtId="3" fontId="0" fillId="0" borderId="0" xfId="0" applyNumberFormat="1"/>
    <xf numFmtId="9" fontId="0" fillId="0" borderId="0" xfId="0" applyNumberFormat="1"/>
    <xf numFmtId="164" fontId="0" fillId="0" borderId="0" xfId="0" applyNumberFormat="1" applyFill="1" applyBorder="1" applyAlignment="1" applyProtection="1">
      <alignment horizontal="right"/>
      <protection locked="0"/>
    </xf>
    <xf numFmtId="0" fontId="29" fillId="0" borderId="0" xfId="0" applyFont="1"/>
    <xf numFmtId="0" fontId="0" fillId="0" borderId="0" xfId="0" applyAlignment="1">
      <alignment vertical="center"/>
    </xf>
    <xf numFmtId="0" fontId="0" fillId="10" borderId="0" xfId="0" applyFill="1"/>
    <xf numFmtId="0" fontId="0" fillId="0" borderId="0" xfId="0" applyAlignment="1">
      <alignment horizontal="center" vertical="center"/>
    </xf>
    <xf numFmtId="0" fontId="30" fillId="0" borderId="0" xfId="0" applyFont="1" applyAlignment="1">
      <alignment horizontal="center" vertical="center"/>
    </xf>
    <xf numFmtId="0" fontId="0" fillId="0" borderId="0" xfId="0" applyAlignment="1">
      <alignment horizontal="left" vertical="center"/>
    </xf>
    <xf numFmtId="2" fontId="8" fillId="0" borderId="0" xfId="4" applyNumberFormat="1" applyFont="1" applyFill="1" applyBorder="1"/>
    <xf numFmtId="0" fontId="8" fillId="0" borderId="0" xfId="4" quotePrefix="1" applyFont="1"/>
    <xf numFmtId="0" fontId="0" fillId="0" borderId="9" xfId="0" applyBorder="1"/>
    <xf numFmtId="0" fontId="1" fillId="0" borderId="9" xfId="0" applyFont="1" applyBorder="1"/>
    <xf numFmtId="0" fontId="0" fillId="0" borderId="0" xfId="0" applyBorder="1" applyAlignment="1">
      <alignment horizontal="left"/>
    </xf>
    <xf numFmtId="0" fontId="31" fillId="0" borderId="0" xfId="0" applyFont="1"/>
    <xf numFmtId="164" fontId="0" fillId="0" borderId="40" xfId="0" applyNumberFormat="1" applyBorder="1" applyAlignment="1">
      <alignment horizontal="center"/>
    </xf>
    <xf numFmtId="0" fontId="0" fillId="0" borderId="40" xfId="0" applyFont="1" applyBorder="1" applyAlignment="1">
      <alignment horizontal="center"/>
    </xf>
    <xf numFmtId="0" fontId="0" fillId="0" borderId="73" xfId="0" applyFont="1" applyBorder="1" applyAlignment="1">
      <alignment horizontal="center"/>
    </xf>
    <xf numFmtId="164" fontId="0" fillId="0" borderId="64" xfId="0" applyNumberFormat="1" applyFont="1" applyFill="1" applyBorder="1" applyAlignment="1" applyProtection="1">
      <alignment horizontal="center" vertical="center"/>
    </xf>
    <xf numFmtId="0" fontId="12" fillId="0" borderId="41" xfId="0" applyFont="1" applyBorder="1" applyAlignment="1" applyProtection="1">
      <alignment horizontal="center" vertical="center"/>
    </xf>
    <xf numFmtId="0" fontId="26" fillId="0" borderId="0" xfId="0" applyFont="1" applyBorder="1" applyAlignment="1" applyProtection="1">
      <alignment vertical="center"/>
    </xf>
    <xf numFmtId="0" fontId="0" fillId="0" borderId="18" xfId="0" applyFont="1" applyBorder="1" applyAlignment="1" applyProtection="1">
      <alignment horizontal="left"/>
    </xf>
    <xf numFmtId="0" fontId="0" fillId="0" borderId="0" xfId="0" applyFont="1" applyFill="1" applyBorder="1" applyAlignment="1" applyProtection="1">
      <alignment horizontal="left" vertical="center"/>
    </xf>
    <xf numFmtId="2" fontId="9" fillId="0" borderId="0" xfId="0" applyNumberFormat="1" applyFont="1" applyFill="1" applyBorder="1" applyAlignment="1" applyProtection="1">
      <alignment horizontal="center" vertical="center"/>
    </xf>
    <xf numFmtId="0" fontId="0" fillId="0" borderId="0" xfId="0" applyFont="1" applyBorder="1" applyProtection="1"/>
    <xf numFmtId="164" fontId="0" fillId="0" borderId="0" xfId="0" applyNumberFormat="1" applyFont="1" applyFill="1" applyBorder="1" applyAlignment="1" applyProtection="1">
      <alignment horizontal="center" vertical="center"/>
    </xf>
    <xf numFmtId="164" fontId="9" fillId="0" borderId="0" xfId="0" applyNumberFormat="1" applyFont="1" applyFill="1" applyBorder="1" applyAlignment="1" applyProtection="1">
      <alignment horizontal="center" vertical="center"/>
    </xf>
    <xf numFmtId="164" fontId="0" fillId="0" borderId="0" xfId="0" applyNumberFormat="1" applyBorder="1" applyAlignment="1" applyProtection="1">
      <alignment horizontal="center"/>
    </xf>
    <xf numFmtId="0" fontId="0" fillId="0" borderId="0" xfId="0" applyAlignment="1"/>
    <xf numFmtId="0" fontId="21" fillId="7" borderId="16" xfId="0" applyFont="1" applyFill="1" applyBorder="1" applyAlignment="1" applyProtection="1">
      <alignment vertical="center" wrapText="1"/>
      <protection locked="0"/>
    </xf>
    <xf numFmtId="0" fontId="28" fillId="7" borderId="16" xfId="0" applyFont="1" applyFill="1" applyBorder="1" applyAlignment="1" applyProtection="1">
      <alignment horizontal="left" vertical="center" wrapText="1" readingOrder="1"/>
      <protection locked="0"/>
    </xf>
    <xf numFmtId="0" fontId="14" fillId="7" borderId="16" xfId="0" applyFont="1" applyFill="1" applyBorder="1" applyAlignment="1" applyProtection="1">
      <alignment horizontal="center" vertical="center"/>
      <protection locked="0"/>
    </xf>
    <xf numFmtId="0" fontId="0" fillId="11" borderId="0" xfId="0" applyFill="1"/>
    <xf numFmtId="0" fontId="1" fillId="0" borderId="15" xfId="0" applyFont="1" applyBorder="1" applyAlignment="1">
      <alignment horizontal="center"/>
    </xf>
    <xf numFmtId="0" fontId="31" fillId="0" borderId="9" xfId="0" applyFont="1" applyBorder="1"/>
    <xf numFmtId="2" fontId="1" fillId="3" borderId="40" xfId="0" applyNumberFormat="1" applyFont="1" applyFill="1" applyBorder="1" applyAlignment="1">
      <alignment horizontal="center"/>
    </xf>
    <xf numFmtId="9" fontId="1" fillId="0" borderId="0" xfId="1" applyFont="1" applyAlignment="1">
      <alignment horizontal="center"/>
    </xf>
    <xf numFmtId="0" fontId="26" fillId="0" borderId="0" xfId="0" applyFont="1" applyBorder="1" applyAlignment="1" applyProtection="1">
      <alignment horizontal="center" vertical="center"/>
    </xf>
    <xf numFmtId="169" fontId="25" fillId="0" borderId="0" xfId="0" applyNumberFormat="1" applyFont="1" applyFill="1" applyBorder="1" applyAlignment="1" applyProtection="1">
      <alignment horizontal="center" vertical="center"/>
    </xf>
    <xf numFmtId="0" fontId="0" fillId="0" borderId="7" xfId="0" applyBorder="1"/>
    <xf numFmtId="0" fontId="27" fillId="0" borderId="0" xfId="0" applyFont="1" applyAlignment="1">
      <alignment horizontal="center"/>
    </xf>
    <xf numFmtId="0" fontId="1" fillId="0" borderId="0" xfId="0" applyFont="1" applyAlignment="1"/>
    <xf numFmtId="164" fontId="21" fillId="0" borderId="0" xfId="0" applyNumberFormat="1" applyFont="1" applyFill="1" applyBorder="1"/>
    <xf numFmtId="0" fontId="8" fillId="0" borderId="0" xfId="5" applyFont="1" applyFill="1" applyBorder="1"/>
    <xf numFmtId="0" fontId="21" fillId="0" borderId="0" xfId="0" applyFont="1" applyFill="1" applyBorder="1" applyAlignment="1">
      <alignment horizontal="center"/>
    </xf>
    <xf numFmtId="2" fontId="21" fillId="0" borderId="0" xfId="0" applyNumberFormat="1" applyFont="1" applyFill="1" applyBorder="1" applyAlignment="1">
      <alignment horizontal="center"/>
    </xf>
    <xf numFmtId="0" fontId="8" fillId="0" borderId="0" xfId="4" applyFont="1" applyFill="1" applyBorder="1" applyAlignment="1">
      <alignment horizontal="center"/>
    </xf>
    <xf numFmtId="1" fontId="20" fillId="0" borderId="0" xfId="4" applyNumberFormat="1" applyFill="1" applyBorder="1"/>
    <xf numFmtId="1" fontId="20" fillId="0" borderId="0" xfId="4" applyNumberFormat="1"/>
    <xf numFmtId="2" fontId="8" fillId="0" borderId="0" xfId="4" applyNumberFormat="1" applyFont="1" applyFill="1" applyBorder="1" applyAlignment="1">
      <alignment horizontal="center"/>
    </xf>
    <xf numFmtId="166" fontId="24" fillId="0" borderId="16" xfId="5" applyNumberFormat="1" applyBorder="1"/>
    <xf numFmtId="166" fontId="8" fillId="0" borderId="0" xfId="5" applyNumberFormat="1" applyFont="1" applyFill="1" applyBorder="1" applyAlignment="1">
      <alignment horizontal="center"/>
    </xf>
    <xf numFmtId="164" fontId="8" fillId="0" borderId="0" xfId="5" applyNumberFormat="1" applyFont="1" applyFill="1" applyBorder="1" applyAlignment="1">
      <alignment horizontal="center"/>
    </xf>
    <xf numFmtId="0" fontId="8" fillId="0" borderId="0" xfId="5" applyFont="1" applyFill="1" applyBorder="1" applyAlignment="1">
      <alignment horizontal="center"/>
    </xf>
    <xf numFmtId="2" fontId="8" fillId="14" borderId="16" xfId="4" applyNumberFormat="1" applyFont="1" applyFill="1" applyBorder="1"/>
    <xf numFmtId="2" fontId="24" fillId="14" borderId="16" xfId="5" applyNumberFormat="1" applyFill="1" applyBorder="1"/>
    <xf numFmtId="0" fontId="24" fillId="5" borderId="16" xfId="5" applyFill="1" applyBorder="1"/>
    <xf numFmtId="166" fontId="24" fillId="13" borderId="16" xfId="5" applyNumberFormat="1" applyFill="1" applyBorder="1" applyProtection="1">
      <protection locked="0"/>
    </xf>
    <xf numFmtId="0" fontId="24" fillId="13" borderId="16" xfId="5" applyFill="1" applyBorder="1" applyProtection="1">
      <protection locked="0"/>
    </xf>
    <xf numFmtId="0" fontId="8" fillId="13" borderId="16" xfId="4" applyFont="1" applyFill="1" applyBorder="1" applyAlignment="1" applyProtection="1">
      <alignment horizontal="center"/>
      <protection locked="0"/>
    </xf>
    <xf numFmtId="1" fontId="20" fillId="0" borderId="16" xfId="4" applyNumberFormat="1" applyBorder="1"/>
    <xf numFmtId="166" fontId="21" fillId="0" borderId="16" xfId="0" applyNumberFormat="1" applyFont="1" applyFill="1" applyBorder="1"/>
    <xf numFmtId="0" fontId="8" fillId="0" borderId="0" xfId="5" quotePrefix="1" applyFont="1"/>
    <xf numFmtId="4" fontId="12" fillId="7" borderId="30" xfId="0" applyNumberFormat="1" applyFont="1" applyFill="1" applyBorder="1" applyAlignment="1" applyProtection="1">
      <alignment horizontal="center" vertical="center"/>
      <protection locked="0"/>
    </xf>
    <xf numFmtId="4" fontId="12" fillId="7" borderId="25" xfId="0" applyNumberFormat="1" applyFont="1" applyFill="1" applyBorder="1" applyAlignment="1" applyProtection="1">
      <alignment horizontal="center" vertical="center"/>
      <protection locked="0"/>
    </xf>
    <xf numFmtId="4" fontId="14" fillId="7" borderId="25" xfId="0" applyNumberFormat="1" applyFont="1" applyFill="1" applyBorder="1" applyAlignment="1" applyProtection="1">
      <alignment horizontal="center" vertical="center"/>
      <protection locked="0"/>
    </xf>
    <xf numFmtId="0" fontId="0" fillId="14" borderId="0" xfId="0" applyFill="1"/>
    <xf numFmtId="0" fontId="32" fillId="14" borderId="0" xfId="0" applyFont="1" applyFill="1" applyBorder="1"/>
    <xf numFmtId="0" fontId="0" fillId="0" borderId="0" xfId="0" applyFont="1" applyFill="1" applyBorder="1"/>
    <xf numFmtId="0" fontId="1" fillId="0" borderId="0" xfId="0" applyFont="1" applyAlignment="1">
      <alignment horizontal="left"/>
    </xf>
    <xf numFmtId="2" fontId="0" fillId="3" borderId="16" xfId="0" applyNumberFormat="1" applyFill="1" applyBorder="1"/>
    <xf numFmtId="0" fontId="0" fillId="0" borderId="0" xfId="0" applyAlignment="1" applyProtection="1">
      <alignment horizontal="right" vertical="center"/>
    </xf>
    <xf numFmtId="0" fontId="0" fillId="0" borderId="0" xfId="0" applyAlignment="1" applyProtection="1">
      <alignment horizontal="center" vertical="center"/>
    </xf>
    <xf numFmtId="0" fontId="0" fillId="0" borderId="0" xfId="0" applyAlignment="1">
      <alignment horizontal="right" vertical="center"/>
    </xf>
    <xf numFmtId="165" fontId="12" fillId="7" borderId="30" xfId="1" applyNumberFormat="1" applyFont="1" applyFill="1" applyBorder="1" applyAlignment="1" applyProtection="1">
      <alignment horizontal="center" vertical="center"/>
      <protection locked="0"/>
    </xf>
    <xf numFmtId="165" fontId="12" fillId="7" borderId="25" xfId="1" applyNumberFormat="1" applyFont="1" applyFill="1" applyBorder="1" applyAlignment="1" applyProtection="1">
      <alignment horizontal="center" vertical="center"/>
      <protection locked="0"/>
    </xf>
    <xf numFmtId="165" fontId="12" fillId="7" borderId="29" xfId="1" applyNumberFormat="1" applyFont="1" applyFill="1" applyBorder="1" applyAlignment="1" applyProtection="1">
      <alignment horizontal="center" vertical="center"/>
      <protection locked="0"/>
    </xf>
    <xf numFmtId="0" fontId="13" fillId="0" borderId="0" xfId="0" applyFont="1" applyBorder="1" applyAlignment="1" applyProtection="1">
      <alignment horizontal="center" vertical="center"/>
    </xf>
    <xf numFmtId="0" fontId="12" fillId="0" borderId="0" xfId="0" applyFont="1" applyBorder="1" applyAlignment="1" applyProtection="1">
      <alignment horizontal="center" vertical="center"/>
    </xf>
    <xf numFmtId="0" fontId="0" fillId="0" borderId="0" xfId="0" applyFill="1" applyBorder="1" applyAlignment="1" applyProtection="1">
      <alignment vertical="center"/>
    </xf>
    <xf numFmtId="0" fontId="12" fillId="0" borderId="0" xfId="0" applyFont="1" applyFill="1" applyBorder="1" applyAlignment="1" applyProtection="1">
      <alignment horizontal="center" vertical="center"/>
      <protection locked="0"/>
    </xf>
    <xf numFmtId="9" fontId="12" fillId="0" borderId="0" xfId="1" applyFont="1" applyFill="1" applyBorder="1" applyAlignment="1" applyProtection="1">
      <alignment horizontal="center" vertical="center"/>
      <protection locked="0"/>
    </xf>
    <xf numFmtId="0" fontId="12" fillId="0" borderId="16" xfId="0" applyFont="1" applyFill="1" applyBorder="1" applyAlignment="1" applyProtection="1">
      <alignment horizontal="center" vertical="center"/>
    </xf>
    <xf numFmtId="2" fontId="12" fillId="0" borderId="16" xfId="0" applyNumberFormat="1" applyFont="1" applyFill="1" applyBorder="1" applyAlignment="1" applyProtection="1">
      <alignment horizontal="center" vertical="center"/>
    </xf>
    <xf numFmtId="166" fontId="1" fillId="0" borderId="16" xfId="0" applyNumberFormat="1" applyFont="1" applyFill="1" applyBorder="1" applyAlignment="1">
      <alignment horizontal="center"/>
    </xf>
    <xf numFmtId="0" fontId="1" fillId="0" borderId="16" xfId="0" applyFont="1" applyFill="1" applyBorder="1" applyAlignment="1">
      <alignment horizontal="center"/>
    </xf>
    <xf numFmtId="166" fontId="1" fillId="0" borderId="16" xfId="0" applyNumberFormat="1" applyFont="1" applyFill="1" applyBorder="1" applyAlignment="1" applyProtection="1">
      <alignment horizontal="center"/>
    </xf>
    <xf numFmtId="0" fontId="14" fillId="4" borderId="94" xfId="0" applyFont="1" applyFill="1" applyBorder="1" applyAlignment="1" applyProtection="1">
      <alignment horizontal="center" vertical="center"/>
      <protection locked="0"/>
    </xf>
    <xf numFmtId="4" fontId="14" fillId="7" borderId="94" xfId="0" applyNumberFormat="1" applyFont="1" applyFill="1" applyBorder="1" applyAlignment="1" applyProtection="1">
      <alignment horizontal="center" vertical="center"/>
      <protection locked="0"/>
    </xf>
    <xf numFmtId="0" fontId="1" fillId="0" borderId="13" xfId="0" applyFont="1" applyBorder="1" applyAlignment="1" applyProtection="1">
      <alignment horizontal="right" vertical="center"/>
    </xf>
    <xf numFmtId="2" fontId="0" fillId="3" borderId="15" xfId="1" applyNumberFormat="1" applyFont="1" applyFill="1" applyBorder="1" applyAlignment="1" applyProtection="1">
      <alignment horizontal="center" vertical="center"/>
    </xf>
    <xf numFmtId="0" fontId="33" fillId="0" borderId="0" xfId="0" applyFont="1"/>
    <xf numFmtId="0" fontId="34" fillId="0" borderId="0" xfId="0" applyFont="1"/>
    <xf numFmtId="0" fontId="11" fillId="0" borderId="0" xfId="2" applyFont="1"/>
    <xf numFmtId="0" fontId="8" fillId="0" borderId="0" xfId="2"/>
    <xf numFmtId="0" fontId="8" fillId="0" borderId="0" xfId="2" applyProtection="1">
      <protection hidden="1"/>
    </xf>
    <xf numFmtId="0" fontId="11" fillId="0" borderId="0" xfId="2" applyFont="1" applyProtection="1">
      <protection hidden="1"/>
    </xf>
    <xf numFmtId="1" fontId="8" fillId="0" borderId="0" xfId="2" applyNumberFormat="1" applyProtection="1">
      <protection hidden="1"/>
    </xf>
    <xf numFmtId="166" fontId="8" fillId="0" borderId="0" xfId="2" applyNumberFormat="1"/>
    <xf numFmtId="1" fontId="8" fillId="0" borderId="0" xfId="2" applyNumberFormat="1"/>
    <xf numFmtId="2" fontId="8" fillId="0" borderId="0" xfId="2" applyNumberFormat="1"/>
    <xf numFmtId="170" fontId="8" fillId="0" borderId="0" xfId="2" applyNumberFormat="1" applyProtection="1">
      <protection hidden="1"/>
    </xf>
    <xf numFmtId="2" fontId="8" fillId="0" borderId="0" xfId="2" applyNumberFormat="1" applyProtection="1">
      <protection hidden="1"/>
    </xf>
    <xf numFmtId="166" fontId="8" fillId="0" borderId="0" xfId="2" applyNumberFormat="1" applyProtection="1">
      <protection hidden="1"/>
    </xf>
    <xf numFmtId="14" fontId="8" fillId="0" borderId="0" xfId="2" applyNumberFormat="1"/>
    <xf numFmtId="0" fontId="1" fillId="0" borderId="0" xfId="0" applyFont="1" applyBorder="1" applyAlignment="1"/>
    <xf numFmtId="164" fontId="0" fillId="0" borderId="0" xfId="0" applyNumberFormat="1" applyFont="1" applyBorder="1" applyAlignment="1"/>
    <xf numFmtId="0" fontId="2" fillId="0" borderId="0" xfId="0" applyFont="1" applyFill="1" applyBorder="1" applyAlignment="1">
      <alignment vertical="center"/>
    </xf>
    <xf numFmtId="0" fontId="0" fillId="15" borderId="16" xfId="0" applyFill="1" applyBorder="1"/>
    <xf numFmtId="0" fontId="29" fillId="0" borderId="16" xfId="0" applyFont="1" applyBorder="1" applyProtection="1">
      <protection hidden="1"/>
    </xf>
    <xf numFmtId="0" fontId="29" fillId="0" borderId="16" xfId="0" applyFont="1" applyFill="1" applyBorder="1" applyProtection="1">
      <protection hidden="1"/>
    </xf>
    <xf numFmtId="0" fontId="29" fillId="0" borderId="0" xfId="0" applyFont="1" applyProtection="1">
      <protection hidden="1"/>
    </xf>
    <xf numFmtId="0" fontId="2" fillId="0" borderId="0" xfId="0" applyFont="1" applyAlignment="1">
      <alignment horizontal="left" vertical="center"/>
    </xf>
    <xf numFmtId="0" fontId="34" fillId="0" borderId="7" xfId="0" applyFont="1" applyBorder="1"/>
    <xf numFmtId="0" fontId="31" fillId="0" borderId="10" xfId="0" applyFont="1" applyBorder="1"/>
    <xf numFmtId="166" fontId="0" fillId="4" borderId="16" xfId="0" applyNumberFormat="1" applyFill="1" applyBorder="1" applyProtection="1">
      <protection locked="0"/>
    </xf>
    <xf numFmtId="164" fontId="0" fillId="4" borderId="16" xfId="0" applyNumberFormat="1" applyFill="1" applyBorder="1" applyProtection="1">
      <protection locked="0"/>
    </xf>
    <xf numFmtId="0" fontId="9" fillId="0" borderId="0" xfId="0" applyFont="1" applyBorder="1" applyProtection="1">
      <protection hidden="1"/>
    </xf>
    <xf numFmtId="0" fontId="16" fillId="0" borderId="14" xfId="0" applyFont="1" applyBorder="1" applyAlignment="1" applyProtection="1">
      <alignment horizontal="center" vertical="center"/>
    </xf>
    <xf numFmtId="165" fontId="12" fillId="0" borderId="19" xfId="1" applyNumberFormat="1" applyFont="1" applyFill="1" applyBorder="1" applyAlignment="1" applyProtection="1">
      <alignment horizontal="center" vertical="center"/>
    </xf>
    <xf numFmtId="0" fontId="12" fillId="0" borderId="96" xfId="0" applyFont="1" applyBorder="1" applyAlignment="1" applyProtection="1">
      <alignment horizontal="center" vertical="center"/>
    </xf>
    <xf numFmtId="0" fontId="12" fillId="0" borderId="95" xfId="0" applyFont="1" applyFill="1" applyBorder="1" applyAlignment="1" applyProtection="1">
      <alignment horizontal="center" vertical="center"/>
    </xf>
    <xf numFmtId="2" fontId="12" fillId="0" borderId="95" xfId="0" applyNumberFormat="1" applyFont="1" applyFill="1" applyBorder="1" applyAlignment="1" applyProtection="1">
      <alignment horizontal="center" vertical="center"/>
    </xf>
    <xf numFmtId="165" fontId="12" fillId="0" borderId="82" xfId="1" applyNumberFormat="1" applyFont="1" applyFill="1" applyBorder="1" applyAlignment="1" applyProtection="1">
      <alignment horizontal="center" vertical="center"/>
    </xf>
    <xf numFmtId="0" fontId="0" fillId="0" borderId="73" xfId="0" applyBorder="1" applyAlignment="1">
      <alignment horizontal="center"/>
    </xf>
    <xf numFmtId="0" fontId="0" fillId="0" borderId="40" xfId="0" applyBorder="1" applyAlignment="1">
      <alignment horizontal="center"/>
    </xf>
    <xf numFmtId="0" fontId="0" fillId="0" borderId="51" xfId="0" applyFont="1" applyBorder="1" applyAlignment="1" applyProtection="1">
      <alignment horizontal="center"/>
    </xf>
    <xf numFmtId="0" fontId="0" fillId="6" borderId="16" xfId="0" applyFill="1" applyBorder="1" applyAlignment="1">
      <alignment horizontal="center" vertical="center"/>
    </xf>
    <xf numFmtId="0" fontId="0" fillId="4" borderId="16" xfId="0" applyFill="1" applyBorder="1" applyAlignment="1">
      <alignment horizontal="center"/>
    </xf>
    <xf numFmtId="0" fontId="0" fillId="4" borderId="16" xfId="0" applyFont="1" applyFill="1" applyBorder="1" applyAlignment="1">
      <alignment horizontal="center"/>
    </xf>
    <xf numFmtId="1" fontId="0" fillId="4" borderId="16" xfId="0" applyNumberFormat="1" applyFill="1" applyBorder="1" applyAlignment="1">
      <alignment horizontal="center"/>
    </xf>
    <xf numFmtId="2" fontId="0" fillId="4" borderId="16" xfId="0" applyNumberFormat="1" applyFill="1" applyBorder="1" applyAlignment="1">
      <alignment horizontal="center"/>
    </xf>
    <xf numFmtId="0" fontId="0" fillId="0" borderId="0" xfId="0" applyBorder="1" applyAlignment="1">
      <alignment horizontal="center"/>
    </xf>
    <xf numFmtId="164" fontId="0" fillId="4" borderId="16" xfId="0" applyNumberFormat="1" applyFill="1" applyBorder="1" applyAlignment="1">
      <alignment horizontal="center"/>
    </xf>
    <xf numFmtId="166" fontId="0" fillId="4" borderId="16" xfId="0" applyNumberFormat="1" applyFill="1" applyBorder="1" applyAlignment="1">
      <alignment horizontal="right"/>
    </xf>
    <xf numFmtId="166" fontId="0" fillId="16" borderId="16" xfId="0" applyNumberFormat="1" applyFill="1" applyBorder="1"/>
    <xf numFmtId="164" fontId="0" fillId="16" borderId="16" xfId="0" applyNumberFormat="1" applyFill="1" applyBorder="1"/>
    <xf numFmtId="0" fontId="0" fillId="16" borderId="16" xfId="0" applyFill="1" applyBorder="1"/>
    <xf numFmtId="0" fontId="14" fillId="0" borderId="72" xfId="0" applyFont="1" applyBorder="1" applyAlignment="1"/>
    <xf numFmtId="0" fontId="14" fillId="0" borderId="0" xfId="0" applyFont="1" applyAlignment="1"/>
    <xf numFmtId="164" fontId="0" fillId="0" borderId="16" xfId="0" applyNumberFormat="1" applyFill="1" applyBorder="1" applyAlignment="1" applyProtection="1">
      <alignment horizontal="right"/>
      <protection locked="0"/>
    </xf>
    <xf numFmtId="164" fontId="0" fillId="0" borderId="0" xfId="0" applyNumberFormat="1" applyFill="1" applyBorder="1" applyAlignment="1" applyProtection="1">
      <alignment horizontal="center"/>
      <protection locked="0"/>
    </xf>
    <xf numFmtId="166" fontId="0" fillId="0" borderId="16" xfId="0" applyNumberFormat="1" applyFill="1" applyBorder="1" applyProtection="1">
      <protection locked="0"/>
    </xf>
    <xf numFmtId="164" fontId="0" fillId="0" borderId="16" xfId="0" applyNumberFormat="1" applyBorder="1" applyAlignment="1">
      <alignment horizontal="right"/>
    </xf>
    <xf numFmtId="0" fontId="1" fillId="0" borderId="0" xfId="0" applyFont="1" applyBorder="1" applyAlignment="1">
      <alignment horizontal="center"/>
    </xf>
    <xf numFmtId="0" fontId="1" fillId="0" borderId="37" xfId="0" applyFont="1" applyBorder="1" applyAlignment="1">
      <alignment horizontal="center"/>
    </xf>
    <xf numFmtId="0" fontId="1" fillId="0" borderId="51" xfId="0" applyFont="1" applyBorder="1" applyAlignment="1">
      <alignment horizontal="center"/>
    </xf>
    <xf numFmtId="0" fontId="1" fillId="0" borderId="51" xfId="0" applyFont="1" applyFill="1" applyBorder="1" applyAlignment="1">
      <alignment horizontal="center"/>
    </xf>
    <xf numFmtId="0" fontId="0" fillId="0" borderId="38" xfId="0" applyFill="1" applyBorder="1"/>
    <xf numFmtId="164" fontId="0" fillId="0" borderId="18" xfId="0" applyNumberFormat="1" applyBorder="1"/>
    <xf numFmtId="164" fontId="0" fillId="0" borderId="18" xfId="0" applyNumberFormat="1" applyBorder="1" applyAlignment="1">
      <alignment horizontal="right"/>
    </xf>
    <xf numFmtId="0" fontId="0" fillId="0" borderId="16" xfId="0" applyBorder="1" applyAlignment="1">
      <alignment horizontal="center"/>
    </xf>
    <xf numFmtId="0" fontId="1" fillId="0" borderId="7" xfId="0" applyFont="1" applyBorder="1" applyAlignment="1">
      <alignment vertical="center"/>
    </xf>
    <xf numFmtId="0" fontId="1" fillId="0" borderId="2" xfId="0" applyFont="1" applyBorder="1" applyAlignment="1">
      <alignment vertical="center"/>
    </xf>
    <xf numFmtId="0" fontId="1" fillId="0" borderId="8" xfId="0" applyFont="1" applyBorder="1" applyAlignment="1">
      <alignment vertical="center"/>
    </xf>
    <xf numFmtId="0" fontId="1" fillId="0" borderId="0" xfId="0" applyFont="1" applyBorder="1" applyAlignment="1">
      <alignment horizontal="center" vertical="center"/>
    </xf>
    <xf numFmtId="0" fontId="1" fillId="0" borderId="3" xfId="0" applyFont="1" applyBorder="1" applyAlignment="1">
      <alignment horizontal="center" vertical="center"/>
    </xf>
    <xf numFmtId="164" fontId="0" fillId="0" borderId="18" xfId="0" applyNumberFormat="1" applyBorder="1" applyAlignment="1">
      <alignment horizontal="center" vertical="center"/>
    </xf>
    <xf numFmtId="0" fontId="0" fillId="0" borderId="40" xfId="0" applyBorder="1"/>
    <xf numFmtId="0" fontId="0" fillId="0" borderId="40" xfId="0" applyBorder="1" applyAlignment="1">
      <alignment horizontal="center" vertical="center"/>
    </xf>
    <xf numFmtId="2" fontId="0" fillId="0" borderId="77" xfId="0" applyNumberFormat="1" applyFont="1" applyBorder="1" applyAlignment="1">
      <alignment horizontal="center"/>
    </xf>
    <xf numFmtId="2" fontId="0" fillId="0" borderId="40" xfId="0" applyNumberFormat="1" applyFont="1" applyBorder="1" applyAlignment="1">
      <alignment horizontal="center"/>
    </xf>
    <xf numFmtId="164" fontId="1" fillId="0" borderId="2" xfId="0" applyNumberFormat="1" applyFont="1" applyBorder="1" applyAlignment="1">
      <alignment horizontal="center"/>
    </xf>
    <xf numFmtId="164" fontId="0" fillId="0" borderId="39" xfId="0" applyNumberFormat="1" applyBorder="1" applyAlignment="1">
      <alignment horizontal="center" vertical="center"/>
    </xf>
    <xf numFmtId="0" fontId="0" fillId="0" borderId="16" xfId="0" applyBorder="1" applyAlignment="1">
      <alignment horizontal="right"/>
    </xf>
    <xf numFmtId="0" fontId="1" fillId="0" borderId="64" xfId="0" applyFont="1" applyFill="1" applyBorder="1" applyAlignment="1">
      <alignment horizontal="center"/>
    </xf>
    <xf numFmtId="166" fontId="0" fillId="0" borderId="40" xfId="0" applyNumberFormat="1" applyBorder="1"/>
    <xf numFmtId="0" fontId="0" fillId="0" borderId="39" xfId="0" applyBorder="1"/>
    <xf numFmtId="2" fontId="0" fillId="0" borderId="18" xfId="0" applyNumberFormat="1" applyBorder="1" applyAlignment="1">
      <alignment horizontal="center"/>
    </xf>
    <xf numFmtId="164" fontId="0" fillId="0" borderId="18" xfId="0" applyNumberFormat="1" applyBorder="1" applyAlignment="1">
      <alignment horizontal="center"/>
    </xf>
    <xf numFmtId="0" fontId="0" fillId="0" borderId="39" xfId="0" applyBorder="1" applyAlignment="1">
      <alignment horizontal="center"/>
    </xf>
    <xf numFmtId="0" fontId="36" fillId="0" borderId="9" xfId="0" applyFont="1" applyBorder="1"/>
    <xf numFmtId="0" fontId="0" fillId="17" borderId="16" xfId="0" applyFill="1" applyBorder="1"/>
    <xf numFmtId="166" fontId="0" fillId="18" borderId="0" xfId="0" applyNumberFormat="1" applyFill="1"/>
    <xf numFmtId="11" fontId="0" fillId="0" borderId="0" xfId="0" applyNumberFormat="1" applyFill="1"/>
    <xf numFmtId="0" fontId="38" fillId="0" borderId="0" xfId="0" applyFont="1"/>
    <xf numFmtId="0" fontId="0" fillId="7" borderId="16" xfId="0" applyFill="1" applyBorder="1" applyAlignment="1" applyProtection="1">
      <alignment horizontal="center"/>
      <protection locked="0"/>
    </xf>
    <xf numFmtId="166" fontId="0" fillId="7" borderId="16" xfId="0" applyNumberFormat="1" applyFill="1" applyBorder="1" applyAlignment="1" applyProtection="1">
      <alignment horizontal="center"/>
      <protection locked="0"/>
    </xf>
    <xf numFmtId="164" fontId="0" fillId="7" borderId="16" xfId="0" applyNumberFormat="1" applyFill="1" applyBorder="1" applyAlignment="1" applyProtection="1">
      <alignment horizontal="center"/>
      <protection locked="0"/>
    </xf>
    <xf numFmtId="166" fontId="0" fillId="4" borderId="16" xfId="0" applyNumberFormat="1" applyFill="1" applyBorder="1" applyAlignment="1" applyProtection="1">
      <alignment horizontal="center"/>
      <protection locked="0"/>
    </xf>
    <xf numFmtId="168" fontId="24" fillId="0" borderId="0" xfId="5" applyNumberFormat="1" applyFill="1" applyBorder="1"/>
    <xf numFmtId="2" fontId="0" fillId="7" borderId="16" xfId="0" applyNumberFormat="1" applyFill="1" applyBorder="1" applyProtection="1">
      <protection locked="0"/>
    </xf>
    <xf numFmtId="0" fontId="0" fillId="0" borderId="3" xfId="0" applyFill="1" applyBorder="1"/>
    <xf numFmtId="0" fontId="0" fillId="0" borderId="9" xfId="0" applyFill="1" applyBorder="1"/>
    <xf numFmtId="0" fontId="0" fillId="4" borderId="32" xfId="0" applyFont="1" applyFill="1" applyBorder="1" applyAlignment="1" applyProtection="1">
      <alignment horizontal="center" vertical="center"/>
      <protection locked="0"/>
    </xf>
    <xf numFmtId="0" fontId="0" fillId="4" borderId="51" xfId="0" applyFont="1" applyFill="1" applyBorder="1" applyAlignment="1" applyProtection="1">
      <alignment horizontal="center" vertical="center"/>
      <protection locked="0"/>
    </xf>
    <xf numFmtId="0" fontId="1" fillId="0" borderId="0" xfId="0" applyFont="1" applyFill="1" applyBorder="1" applyAlignment="1">
      <alignment horizontal="left"/>
    </xf>
    <xf numFmtId="164" fontId="0" fillId="7" borderId="16" xfId="0" applyNumberFormat="1" applyFill="1" applyBorder="1" applyProtection="1">
      <protection locked="0"/>
    </xf>
    <xf numFmtId="0" fontId="0" fillId="3" borderId="28" xfId="0" applyFill="1" applyBorder="1" applyAlignment="1">
      <alignment horizontal="center" vertical="center"/>
    </xf>
    <xf numFmtId="0" fontId="1" fillId="0" borderId="2" xfId="0" applyFont="1" applyBorder="1" applyAlignment="1">
      <alignment horizontal="center" vertical="center"/>
    </xf>
    <xf numFmtId="0" fontId="0" fillId="0" borderId="20" xfId="0" applyBorder="1"/>
    <xf numFmtId="0" fontId="0" fillId="0" borderId="67" xfId="0" applyBorder="1"/>
    <xf numFmtId="0" fontId="0" fillId="0" borderId="39" xfId="0" applyFont="1" applyFill="1" applyBorder="1" applyAlignment="1">
      <alignment horizontal="center"/>
    </xf>
    <xf numFmtId="2" fontId="0" fillId="7" borderId="0" xfId="0" applyNumberFormat="1" applyFill="1" applyBorder="1" applyProtection="1">
      <protection locked="0"/>
    </xf>
    <xf numFmtId="0" fontId="0" fillId="7" borderId="0" xfId="0" applyFill="1" applyBorder="1" applyProtection="1">
      <protection locked="0"/>
    </xf>
    <xf numFmtId="0" fontId="0" fillId="19" borderId="0" xfId="0" applyFill="1"/>
    <xf numFmtId="0" fontId="41" fillId="0" borderId="0" xfId="5" applyFont="1"/>
    <xf numFmtId="0" fontId="42" fillId="0" borderId="0" xfId="5" applyFont="1"/>
    <xf numFmtId="0" fontId="2" fillId="8" borderId="5" xfId="0" applyFont="1" applyFill="1" applyBorder="1" applyAlignment="1">
      <alignment horizontal="center" vertical="center"/>
    </xf>
    <xf numFmtId="0" fontId="2" fillId="8" borderId="1" xfId="0" applyFont="1" applyFill="1" applyBorder="1" applyAlignment="1">
      <alignment horizontal="center" vertical="center"/>
    </xf>
    <xf numFmtId="0" fontId="2" fillId="8" borderId="6" xfId="0" applyFont="1" applyFill="1" applyBorder="1" applyAlignment="1">
      <alignment horizontal="center" vertical="center"/>
    </xf>
    <xf numFmtId="0" fontId="0" fillId="0" borderId="35" xfId="0" applyFont="1" applyFill="1" applyBorder="1" applyAlignment="1" applyProtection="1">
      <alignment horizontal="center" vertical="center" wrapText="1"/>
    </xf>
    <xf numFmtId="0" fontId="0" fillId="0" borderId="48" xfId="0" applyFont="1" applyFill="1" applyBorder="1" applyAlignment="1" applyProtection="1">
      <alignment horizontal="center" vertical="center" wrapText="1"/>
    </xf>
    <xf numFmtId="2" fontId="9" fillId="7" borderId="36" xfId="0" applyNumberFormat="1" applyFont="1" applyFill="1" applyBorder="1" applyAlignment="1" applyProtection="1">
      <alignment horizontal="center" vertical="center"/>
      <protection locked="0"/>
    </xf>
    <xf numFmtId="2" fontId="9" fillId="7" borderId="32" xfId="0" applyNumberFormat="1" applyFont="1" applyFill="1" applyBorder="1" applyAlignment="1" applyProtection="1">
      <alignment horizontal="center" vertical="center"/>
      <protection locked="0"/>
    </xf>
    <xf numFmtId="0" fontId="1" fillId="0" borderId="55" xfId="0" applyFont="1" applyFill="1" applyBorder="1" applyAlignment="1" applyProtection="1">
      <alignment horizontal="left" vertical="center"/>
    </xf>
    <xf numFmtId="0" fontId="1" fillId="0" borderId="45" xfId="0" applyFont="1" applyFill="1" applyBorder="1" applyAlignment="1" applyProtection="1">
      <alignment horizontal="left" vertical="center"/>
    </xf>
    <xf numFmtId="0" fontId="1" fillId="0" borderId="58" xfId="0" applyFont="1" applyFill="1" applyBorder="1" applyAlignment="1" applyProtection="1">
      <alignment horizontal="left" vertical="center"/>
    </xf>
    <xf numFmtId="0" fontId="1" fillId="0" borderId="46" xfId="0" applyFont="1" applyFill="1" applyBorder="1" applyAlignment="1" applyProtection="1">
      <alignment horizontal="left" vertical="center"/>
    </xf>
    <xf numFmtId="0" fontId="0" fillId="7" borderId="52" xfId="0" applyFont="1" applyFill="1" applyBorder="1" applyAlignment="1" applyProtection="1">
      <alignment horizontal="left" vertical="center"/>
      <protection locked="0"/>
    </xf>
    <xf numFmtId="0" fontId="0" fillId="7" borderId="53" xfId="0" applyFont="1" applyFill="1" applyBorder="1" applyAlignment="1" applyProtection="1">
      <alignment horizontal="left" vertical="center"/>
      <protection locked="0"/>
    </xf>
    <xf numFmtId="0" fontId="0" fillId="7" borderId="54" xfId="0" applyFont="1" applyFill="1" applyBorder="1" applyAlignment="1" applyProtection="1">
      <alignment horizontal="left" vertical="center"/>
      <protection locked="0"/>
    </xf>
    <xf numFmtId="0" fontId="0" fillId="7" borderId="33" xfId="0" applyFont="1" applyFill="1" applyBorder="1" applyAlignment="1" applyProtection="1">
      <alignment horizontal="left" vertical="center"/>
      <protection locked="0"/>
    </xf>
    <xf numFmtId="0" fontId="0" fillId="7" borderId="59" xfId="0" applyFont="1" applyFill="1" applyBorder="1" applyAlignment="1" applyProtection="1">
      <alignment horizontal="left" vertical="center"/>
      <protection locked="0"/>
    </xf>
    <xf numFmtId="0" fontId="0" fillId="7" borderId="60" xfId="0" applyFont="1" applyFill="1" applyBorder="1" applyAlignment="1" applyProtection="1">
      <alignment horizontal="left" vertical="center"/>
      <protection locked="0"/>
    </xf>
    <xf numFmtId="0" fontId="16" fillId="0" borderId="12" xfId="0" applyFont="1" applyBorder="1" applyAlignment="1" applyProtection="1">
      <alignment horizontal="center" vertical="center"/>
    </xf>
    <xf numFmtId="0" fontId="16" fillId="0" borderId="1" xfId="0" applyFont="1" applyBorder="1" applyAlignment="1" applyProtection="1">
      <alignment horizontal="center" vertical="center"/>
    </xf>
    <xf numFmtId="0" fontId="16" fillId="0" borderId="21" xfId="0" applyFont="1" applyBorder="1" applyAlignment="1" applyProtection="1">
      <alignment horizontal="center" vertical="center"/>
    </xf>
    <xf numFmtId="0" fontId="14" fillId="7" borderId="34" xfId="0" applyFont="1" applyFill="1" applyBorder="1" applyAlignment="1" applyProtection="1">
      <alignment horizontal="center" vertical="center"/>
      <protection locked="0"/>
    </xf>
    <xf numFmtId="0" fontId="14" fillId="7" borderId="56" xfId="0" applyFont="1" applyFill="1" applyBorder="1" applyAlignment="1" applyProtection="1">
      <alignment horizontal="center" vertical="center"/>
      <protection locked="0"/>
    </xf>
    <xf numFmtId="0" fontId="14" fillId="7" borderId="43" xfId="0" applyFont="1" applyFill="1" applyBorder="1" applyAlignment="1" applyProtection="1">
      <alignment horizontal="center" vertical="center"/>
      <protection locked="0"/>
    </xf>
    <xf numFmtId="0" fontId="14" fillId="7" borderId="52" xfId="0" applyFont="1" applyFill="1" applyBorder="1" applyAlignment="1" applyProtection="1">
      <alignment horizontal="center" vertical="center"/>
      <protection locked="0"/>
    </xf>
    <xf numFmtId="0" fontId="14" fillId="7" borderId="53" xfId="0" applyFont="1" applyFill="1" applyBorder="1" applyAlignment="1" applyProtection="1">
      <alignment horizontal="center" vertical="center"/>
      <protection locked="0"/>
    </xf>
    <xf numFmtId="0" fontId="14" fillId="7" borderId="45" xfId="0" applyFont="1" applyFill="1" applyBorder="1" applyAlignment="1" applyProtection="1">
      <alignment horizontal="center" vertical="center"/>
      <protection locked="0"/>
    </xf>
    <xf numFmtId="169" fontId="25" fillId="7" borderId="5" xfId="0" applyNumberFormat="1" applyFont="1" applyFill="1" applyBorder="1" applyAlignment="1" applyProtection="1">
      <alignment horizontal="center" vertical="center"/>
      <protection locked="0"/>
    </xf>
    <xf numFmtId="169" fontId="25" fillId="7" borderId="6" xfId="0" applyNumberFormat="1" applyFont="1" applyFill="1" applyBorder="1" applyAlignment="1" applyProtection="1">
      <alignment horizontal="center" vertical="center"/>
      <protection locked="0"/>
    </xf>
    <xf numFmtId="0" fontId="26" fillId="0" borderId="5" xfId="0" applyFont="1" applyBorder="1" applyAlignment="1" applyProtection="1">
      <alignment horizontal="center" vertical="center"/>
    </xf>
    <xf numFmtId="0" fontId="26" fillId="0" borderId="1" xfId="0" applyFont="1" applyBorder="1" applyAlignment="1" applyProtection="1">
      <alignment horizontal="center" vertical="center"/>
    </xf>
    <xf numFmtId="0" fontId="26" fillId="0" borderId="6" xfId="0" applyFont="1" applyBorder="1" applyAlignment="1" applyProtection="1">
      <alignment horizontal="center" vertical="center"/>
    </xf>
    <xf numFmtId="0" fontId="16" fillId="0" borderId="51" xfId="0" applyFont="1" applyFill="1" applyBorder="1" applyAlignment="1">
      <alignment horizontal="center" vertical="center" wrapText="1"/>
    </xf>
    <xf numFmtId="0" fontId="16" fillId="0" borderId="16" xfId="0" applyFont="1" applyFill="1" applyBorder="1" applyAlignment="1">
      <alignment horizontal="center" vertical="center" wrapText="1"/>
    </xf>
    <xf numFmtId="0" fontId="1" fillId="0" borderId="42" xfId="0" applyFont="1" applyFill="1" applyBorder="1" applyAlignment="1" applyProtection="1">
      <alignment horizontal="left" vertical="center"/>
    </xf>
    <xf numFmtId="0" fontId="1" fillId="0" borderId="43" xfId="0" applyFont="1" applyFill="1" applyBorder="1" applyAlignment="1" applyProtection="1">
      <alignment horizontal="left" vertical="center"/>
    </xf>
    <xf numFmtId="0" fontId="16" fillId="0" borderId="64" xfId="0" applyFont="1" applyFill="1" applyBorder="1" applyAlignment="1">
      <alignment horizontal="center" vertical="center" wrapText="1"/>
    </xf>
    <xf numFmtId="0" fontId="16" fillId="0" borderId="40" xfId="0" applyFont="1" applyFill="1" applyBorder="1" applyAlignment="1">
      <alignment horizontal="center" vertical="center" wrapText="1"/>
    </xf>
    <xf numFmtId="0" fontId="0" fillId="0" borderId="37" xfId="0" applyBorder="1" applyAlignment="1">
      <alignment horizontal="center"/>
    </xf>
    <xf numFmtId="0" fontId="0" fillId="0" borderId="41" xfId="0" applyBorder="1" applyAlignment="1">
      <alignment horizontal="center"/>
    </xf>
    <xf numFmtId="0" fontId="0" fillId="7" borderId="34" xfId="0" applyFont="1" applyFill="1" applyBorder="1" applyAlignment="1" applyProtection="1">
      <alignment horizontal="left" vertical="center"/>
      <protection locked="0"/>
    </xf>
    <xf numFmtId="0" fontId="0" fillId="7" borderId="56" xfId="0" applyFont="1" applyFill="1" applyBorder="1" applyAlignment="1" applyProtection="1">
      <alignment horizontal="left" vertical="center"/>
      <protection locked="0"/>
    </xf>
    <xf numFmtId="0" fontId="0" fillId="7" borderId="57" xfId="0" applyFont="1" applyFill="1" applyBorder="1" applyAlignment="1" applyProtection="1">
      <alignment horizontal="left" vertical="center"/>
      <protection locked="0"/>
    </xf>
    <xf numFmtId="0" fontId="0" fillId="7" borderId="52" xfId="0" applyNumberFormat="1" applyFont="1" applyFill="1" applyBorder="1" applyAlignment="1" applyProtection="1">
      <alignment horizontal="left" vertical="center"/>
      <protection locked="0"/>
    </xf>
    <xf numFmtId="0" fontId="0" fillId="7" borderId="53" xfId="0" applyNumberFormat="1" applyFont="1" applyFill="1" applyBorder="1" applyAlignment="1" applyProtection="1">
      <alignment horizontal="left" vertical="center"/>
      <protection locked="0"/>
    </xf>
    <xf numFmtId="0" fontId="0" fillId="7" borderId="54" xfId="0" applyNumberFormat="1" applyFont="1" applyFill="1" applyBorder="1" applyAlignment="1" applyProtection="1">
      <alignment horizontal="left" vertical="center"/>
      <protection locked="0"/>
    </xf>
    <xf numFmtId="169" fontId="0" fillId="7" borderId="52" xfId="0" applyNumberFormat="1" applyFont="1" applyFill="1" applyBorder="1" applyAlignment="1" applyProtection="1">
      <alignment horizontal="left" vertical="center"/>
      <protection locked="0"/>
    </xf>
    <xf numFmtId="169" fontId="0" fillId="7" borderId="53" xfId="0" applyNumberFormat="1" applyFont="1" applyFill="1" applyBorder="1" applyAlignment="1" applyProtection="1">
      <alignment horizontal="left" vertical="center"/>
      <protection locked="0"/>
    </xf>
    <xf numFmtId="169" fontId="0" fillId="7" borderId="54" xfId="0" applyNumberFormat="1" applyFont="1" applyFill="1" applyBorder="1" applyAlignment="1" applyProtection="1">
      <alignment horizontal="left" vertical="center"/>
      <protection locked="0"/>
    </xf>
    <xf numFmtId="0" fontId="14" fillId="7" borderId="33" xfId="0" applyFont="1" applyFill="1" applyBorder="1" applyAlignment="1" applyProtection="1">
      <alignment horizontal="center" vertical="center"/>
      <protection locked="0"/>
    </xf>
    <xf numFmtId="0" fontId="14" fillId="7" borderId="59" xfId="0" applyFont="1" applyFill="1" applyBorder="1" applyAlignment="1" applyProtection="1">
      <alignment horizontal="center" vertical="center"/>
      <protection locked="0"/>
    </xf>
    <xf numFmtId="0" fontId="14" fillId="7" borderId="46" xfId="0" applyFont="1" applyFill="1" applyBorder="1" applyAlignment="1" applyProtection="1">
      <alignment horizontal="center" vertical="center"/>
      <protection locked="0"/>
    </xf>
    <xf numFmtId="0" fontId="14" fillId="4" borderId="89" xfId="0" applyFont="1" applyFill="1" applyBorder="1" applyAlignment="1" applyProtection="1">
      <alignment horizontal="center" vertical="center"/>
      <protection locked="0"/>
    </xf>
    <xf numFmtId="0" fontId="14" fillId="4" borderId="90" xfId="0" applyFont="1" applyFill="1" applyBorder="1" applyAlignment="1" applyProtection="1">
      <alignment horizontal="center" vertical="center"/>
      <protection locked="0"/>
    </xf>
    <xf numFmtId="0" fontId="14" fillId="4" borderId="81" xfId="0" applyFont="1" applyFill="1" applyBorder="1" applyAlignment="1" applyProtection="1">
      <alignment horizontal="center" vertical="center"/>
      <protection locked="0"/>
    </xf>
    <xf numFmtId="0" fontId="14" fillId="4" borderId="88" xfId="0" applyFont="1" applyFill="1" applyBorder="1" applyAlignment="1" applyProtection="1">
      <alignment horizontal="center" vertical="center"/>
      <protection locked="0"/>
    </xf>
    <xf numFmtId="0" fontId="14" fillId="0" borderId="93" xfId="0" applyFont="1" applyBorder="1" applyAlignment="1">
      <alignment horizontal="left" vertical="center" wrapText="1"/>
    </xf>
    <xf numFmtId="0" fontId="14" fillId="0" borderId="91" xfId="0" applyFont="1" applyBorder="1" applyAlignment="1">
      <alignment horizontal="left" vertical="center" wrapText="1"/>
    </xf>
    <xf numFmtId="0" fontId="14" fillId="0" borderId="92" xfId="0" applyFont="1" applyBorder="1" applyAlignment="1">
      <alignment horizontal="left" vertical="center" wrapText="1"/>
    </xf>
    <xf numFmtId="0" fontId="14" fillId="0" borderId="82" xfId="0" applyFont="1" applyBorder="1" applyAlignment="1">
      <alignment horizontal="left" vertical="center" wrapText="1"/>
    </xf>
    <xf numFmtId="0" fontId="14" fillId="0" borderId="72" xfId="0" applyFont="1" applyBorder="1" applyAlignment="1">
      <alignment horizontal="left" vertical="center" wrapText="1"/>
    </xf>
    <xf numFmtId="0" fontId="14" fillId="0" borderId="83" xfId="0" applyFont="1" applyBorder="1" applyAlignment="1">
      <alignment horizontal="left" vertical="center" wrapText="1"/>
    </xf>
    <xf numFmtId="0" fontId="0" fillId="0" borderId="67" xfId="0" applyBorder="1" applyAlignment="1">
      <alignment horizontal="left"/>
    </xf>
    <xf numFmtId="0" fontId="0" fillId="0" borderId="71" xfId="0" applyBorder="1" applyAlignment="1">
      <alignment horizontal="left"/>
    </xf>
    <xf numFmtId="0" fontId="0" fillId="0" borderId="20" xfId="0" applyBorder="1" applyAlignment="1">
      <alignment horizontal="left"/>
    </xf>
    <xf numFmtId="0" fontId="0" fillId="0" borderId="68" xfId="0" applyBorder="1" applyAlignment="1">
      <alignment horizontal="left"/>
    </xf>
    <xf numFmtId="0" fontId="0" fillId="0" borderId="78" xfId="0" applyBorder="1" applyAlignment="1">
      <alignment horizontal="left"/>
    </xf>
    <xf numFmtId="0" fontId="1" fillId="0" borderId="68" xfId="0" applyFont="1" applyBorder="1" applyAlignment="1">
      <alignment horizontal="left"/>
    </xf>
    <xf numFmtId="0" fontId="1" fillId="0" borderId="69" xfId="0" applyFont="1" applyBorder="1" applyAlignment="1">
      <alignment horizontal="left"/>
    </xf>
    <xf numFmtId="0" fontId="1" fillId="0" borderId="5" xfId="0" applyFont="1" applyBorder="1" applyAlignment="1">
      <alignment horizontal="left" vertical="center"/>
    </xf>
    <xf numFmtId="0" fontId="1" fillId="0" borderId="1" xfId="0" applyFont="1" applyBorder="1" applyAlignment="1">
      <alignment horizontal="left" vertical="center"/>
    </xf>
    <xf numFmtId="0" fontId="1" fillId="0" borderId="6" xfId="0" applyFont="1" applyBorder="1" applyAlignment="1">
      <alignment horizontal="left" vertical="center"/>
    </xf>
    <xf numFmtId="0" fontId="1" fillId="0" borderId="7" xfId="0" applyFont="1" applyFill="1" applyBorder="1" applyAlignment="1" applyProtection="1">
      <alignment horizontal="center" vertical="center" wrapText="1"/>
    </xf>
    <xf numFmtId="0" fontId="1" fillId="0" borderId="2" xfId="0" applyFont="1" applyFill="1" applyBorder="1" applyAlignment="1" applyProtection="1">
      <alignment horizontal="center" vertical="center" wrapText="1"/>
    </xf>
    <xf numFmtId="0" fontId="1" fillId="0" borderId="8" xfId="0" applyFont="1" applyFill="1" applyBorder="1" applyAlignment="1" applyProtection="1">
      <alignment horizontal="center" vertical="center" wrapText="1"/>
    </xf>
    <xf numFmtId="0" fontId="1" fillId="0" borderId="9" xfId="0" applyFont="1" applyFill="1" applyBorder="1" applyAlignment="1" applyProtection="1">
      <alignment horizontal="center" vertical="center" wrapText="1"/>
    </xf>
    <xf numFmtId="0" fontId="1" fillId="0" borderId="0" xfId="0" applyFont="1" applyFill="1" applyBorder="1" applyAlignment="1" applyProtection="1">
      <alignment horizontal="center" vertical="center" wrapText="1"/>
    </xf>
    <xf numFmtId="0" fontId="1" fillId="0" borderId="3" xfId="0" applyFont="1" applyFill="1" applyBorder="1" applyAlignment="1" applyProtection="1">
      <alignment horizontal="center" vertical="center" wrapText="1"/>
    </xf>
    <xf numFmtId="0" fontId="1" fillId="0" borderId="10" xfId="0" applyFont="1" applyFill="1" applyBorder="1" applyAlignment="1" applyProtection="1">
      <alignment horizontal="center" vertical="center" wrapText="1"/>
    </xf>
    <xf numFmtId="0" fontId="1" fillId="0" borderId="4" xfId="0" applyFont="1" applyFill="1" applyBorder="1" applyAlignment="1" applyProtection="1">
      <alignment horizontal="center" vertical="center" wrapText="1"/>
    </xf>
    <xf numFmtId="0" fontId="1" fillId="0" borderId="11" xfId="0" applyFont="1" applyFill="1" applyBorder="1" applyAlignment="1" applyProtection="1">
      <alignment horizontal="center" vertical="center" wrapText="1"/>
    </xf>
    <xf numFmtId="0" fontId="1" fillId="0" borderId="5" xfId="0" applyFont="1" applyBorder="1" applyAlignment="1">
      <alignment horizontal="center" vertical="center"/>
    </xf>
    <xf numFmtId="0" fontId="1" fillId="0" borderId="1" xfId="0" applyFont="1" applyBorder="1" applyAlignment="1">
      <alignment horizontal="center" vertical="center"/>
    </xf>
    <xf numFmtId="0" fontId="1" fillId="0" borderId="6" xfId="0" applyFont="1" applyBorder="1" applyAlignment="1">
      <alignment horizontal="center" vertical="center"/>
    </xf>
    <xf numFmtId="0" fontId="32" fillId="0" borderId="7" xfId="0" applyFont="1" applyBorder="1" applyAlignment="1">
      <alignment horizontal="center" vertical="center"/>
    </xf>
    <xf numFmtId="0" fontId="32" fillId="0" borderId="2" xfId="0" applyFont="1" applyBorder="1" applyAlignment="1">
      <alignment horizontal="center" vertical="center"/>
    </xf>
    <xf numFmtId="0" fontId="32" fillId="0" borderId="8" xfId="0" applyFont="1" applyBorder="1" applyAlignment="1">
      <alignment horizontal="center" vertical="center"/>
    </xf>
    <xf numFmtId="0" fontId="32" fillId="0" borderId="81" xfId="0" applyFont="1" applyBorder="1" applyAlignment="1">
      <alignment horizontal="center" vertical="center"/>
    </xf>
    <xf numFmtId="0" fontId="32" fillId="0" borderId="72" xfId="0" applyFont="1" applyBorder="1" applyAlignment="1">
      <alignment horizontal="center" vertical="center"/>
    </xf>
    <xf numFmtId="0" fontId="32" fillId="0" borderId="83" xfId="0" applyFont="1" applyBorder="1" applyAlignment="1">
      <alignment horizontal="center" vertical="center"/>
    </xf>
    <xf numFmtId="0" fontId="0" fillId="0" borderId="7" xfId="0" applyBorder="1" applyAlignment="1">
      <alignment horizontal="center"/>
    </xf>
    <xf numFmtId="0" fontId="0" fillId="0" borderId="2" xfId="0" applyBorder="1" applyAlignment="1">
      <alignment horizontal="center"/>
    </xf>
    <xf numFmtId="0" fontId="0" fillId="0" borderId="8" xfId="0" applyBorder="1" applyAlignment="1">
      <alignment horizontal="center"/>
    </xf>
    <xf numFmtId="0" fontId="0" fillId="0" borderId="81" xfId="0" applyBorder="1" applyAlignment="1">
      <alignment horizontal="center"/>
    </xf>
    <xf numFmtId="0" fontId="0" fillId="0" borderId="72" xfId="0" applyBorder="1" applyAlignment="1">
      <alignment horizontal="center"/>
    </xf>
    <xf numFmtId="0" fontId="0" fillId="0" borderId="83" xfId="0" applyBorder="1" applyAlignment="1">
      <alignment horizontal="center"/>
    </xf>
    <xf numFmtId="0" fontId="1" fillId="0" borderId="89" xfId="0" applyFont="1" applyFill="1" applyBorder="1" applyAlignment="1" applyProtection="1">
      <alignment horizontal="center" vertical="center" wrapText="1"/>
    </xf>
    <xf numFmtId="0" fontId="1" fillId="0" borderId="91" xfId="0" applyFont="1" applyFill="1" applyBorder="1" applyAlignment="1" applyProtection="1">
      <alignment horizontal="center" vertical="center" wrapText="1"/>
    </xf>
    <xf numFmtId="0" fontId="1" fillId="0" borderId="90" xfId="0" applyFont="1" applyFill="1" applyBorder="1" applyAlignment="1" applyProtection="1">
      <alignment horizontal="center" vertical="center" wrapText="1"/>
    </xf>
    <xf numFmtId="0" fontId="1" fillId="0" borderId="97" xfId="0" applyFont="1" applyFill="1" applyBorder="1" applyAlignment="1" applyProtection="1">
      <alignment horizontal="center" vertical="center" wrapText="1"/>
    </xf>
    <xf numFmtId="0" fontId="1" fillId="0" borderId="81" xfId="0" applyFont="1" applyFill="1" applyBorder="1" applyAlignment="1" applyProtection="1">
      <alignment horizontal="center" vertical="center" wrapText="1"/>
    </xf>
    <xf numFmtId="0" fontId="1" fillId="0" borderId="72" xfId="0" applyFont="1" applyFill="1" applyBorder="1" applyAlignment="1" applyProtection="1">
      <alignment horizontal="center" vertical="center" wrapText="1"/>
    </xf>
    <xf numFmtId="0" fontId="1" fillId="0" borderId="88" xfId="0" applyFont="1" applyFill="1" applyBorder="1" applyAlignment="1" applyProtection="1">
      <alignment horizontal="center" vertical="center" wrapText="1"/>
    </xf>
    <xf numFmtId="164" fontId="9" fillId="0" borderId="77" xfId="0" applyNumberFormat="1" applyFont="1" applyFill="1" applyBorder="1" applyAlignment="1" applyProtection="1">
      <alignment horizontal="center" vertical="center"/>
    </xf>
    <xf numFmtId="164" fontId="9" fillId="0" borderId="73" xfId="0" applyNumberFormat="1" applyFont="1" applyFill="1" applyBorder="1" applyAlignment="1" applyProtection="1">
      <alignment horizontal="center" vertical="center"/>
    </xf>
    <xf numFmtId="0" fontId="0" fillId="0" borderId="77" xfId="0" applyFont="1" applyFill="1" applyBorder="1" applyAlignment="1" applyProtection="1">
      <alignment horizontal="center" vertical="center" wrapText="1"/>
    </xf>
    <xf numFmtId="0" fontId="0" fillId="0" borderId="73" xfId="0" applyFont="1" applyFill="1" applyBorder="1" applyAlignment="1" applyProtection="1">
      <alignment horizontal="center" vertical="center" wrapText="1"/>
    </xf>
    <xf numFmtId="0" fontId="0" fillId="0" borderId="89" xfId="0" applyFont="1" applyFill="1" applyBorder="1" applyAlignment="1" applyProtection="1">
      <alignment horizontal="center" vertical="center"/>
    </xf>
    <xf numFmtId="0" fontId="0" fillId="0" borderId="91" xfId="0" applyFont="1" applyFill="1" applyBorder="1" applyAlignment="1" applyProtection="1">
      <alignment horizontal="center" vertical="center"/>
    </xf>
    <xf numFmtId="0" fontId="0" fillId="0" borderId="90" xfId="0" applyFont="1" applyFill="1" applyBorder="1" applyAlignment="1" applyProtection="1">
      <alignment horizontal="center" vertical="center"/>
    </xf>
    <xf numFmtId="0" fontId="0" fillId="0" borderId="10" xfId="0" applyFont="1" applyFill="1" applyBorder="1" applyAlignment="1" applyProtection="1">
      <alignment horizontal="center" vertical="center"/>
    </xf>
    <xf numFmtId="0" fontId="0" fillId="0" borderId="4" xfId="0" applyFont="1" applyFill="1" applyBorder="1" applyAlignment="1" applyProtection="1">
      <alignment horizontal="center" vertical="center"/>
    </xf>
    <xf numFmtId="0" fontId="0" fillId="0" borderId="97" xfId="0" applyFont="1" applyFill="1" applyBorder="1" applyAlignment="1" applyProtection="1">
      <alignment horizontal="center" vertical="center"/>
    </xf>
    <xf numFmtId="0" fontId="0" fillId="0" borderId="81" xfId="0" applyFont="1" applyFill="1" applyBorder="1" applyAlignment="1" applyProtection="1">
      <alignment horizontal="center" vertical="center"/>
    </xf>
    <xf numFmtId="0" fontId="0" fillId="0" borderId="72" xfId="0" applyFont="1" applyFill="1" applyBorder="1" applyAlignment="1" applyProtection="1">
      <alignment horizontal="center" vertical="center"/>
    </xf>
    <xf numFmtId="0" fontId="0" fillId="0" borderId="88" xfId="0" applyFont="1" applyFill="1" applyBorder="1" applyAlignment="1" applyProtection="1">
      <alignment horizontal="center" vertical="center"/>
    </xf>
    <xf numFmtId="0" fontId="1" fillId="6" borderId="61" xfId="0" applyFont="1" applyFill="1" applyBorder="1" applyAlignment="1">
      <alignment horizontal="center" vertical="center" wrapText="1"/>
    </xf>
    <xf numFmtId="0" fontId="1" fillId="6" borderId="63" xfId="0" applyFont="1" applyFill="1" applyBorder="1" applyAlignment="1">
      <alignment horizontal="center" vertical="center" wrapText="1"/>
    </xf>
    <xf numFmtId="0" fontId="1" fillId="6" borderId="62" xfId="0" applyFont="1" applyFill="1" applyBorder="1" applyAlignment="1">
      <alignment horizontal="center" vertical="center" wrapText="1"/>
    </xf>
    <xf numFmtId="0" fontId="0" fillId="0" borderId="65" xfId="0" applyFont="1" applyFill="1" applyBorder="1" applyAlignment="1" applyProtection="1">
      <alignment horizontal="left" vertical="center"/>
    </xf>
    <xf numFmtId="0" fontId="0" fillId="0" borderId="79" xfId="0" applyFont="1" applyFill="1" applyBorder="1" applyAlignment="1" applyProtection="1">
      <alignment horizontal="left" vertical="center"/>
    </xf>
    <xf numFmtId="0" fontId="0" fillId="0" borderId="66" xfId="0" applyFont="1" applyFill="1" applyBorder="1" applyAlignment="1" applyProtection="1">
      <alignment horizontal="left" vertical="center"/>
    </xf>
    <xf numFmtId="0" fontId="0" fillId="0" borderId="68" xfId="0" applyFont="1" applyBorder="1" applyAlignment="1" applyProtection="1">
      <alignment horizontal="left"/>
    </xf>
    <xf numFmtId="0" fontId="0" fillId="0" borderId="78" xfId="0" applyFont="1" applyBorder="1" applyAlignment="1" applyProtection="1">
      <alignment horizontal="left"/>
    </xf>
    <xf numFmtId="0" fontId="0" fillId="0" borderId="69" xfId="0" applyFont="1" applyBorder="1" applyAlignment="1" applyProtection="1">
      <alignment horizontal="left"/>
    </xf>
    <xf numFmtId="0" fontId="1" fillId="0" borderId="13" xfId="0" applyFont="1" applyBorder="1" applyAlignment="1">
      <alignment horizontal="center"/>
    </xf>
    <xf numFmtId="0" fontId="1" fillId="0" borderId="14" xfId="0" applyFont="1" applyBorder="1" applyAlignment="1">
      <alignment horizontal="center"/>
    </xf>
    <xf numFmtId="0" fontId="1" fillId="0" borderId="15" xfId="0" applyFont="1" applyBorder="1" applyAlignment="1">
      <alignment horizontal="center"/>
    </xf>
    <xf numFmtId="0" fontId="1" fillId="0" borderId="0" xfId="0" applyFont="1" applyBorder="1" applyAlignment="1">
      <alignment horizontal="left"/>
    </xf>
    <xf numFmtId="0" fontId="1" fillId="0" borderId="13" xfId="0" applyFont="1" applyBorder="1" applyAlignment="1">
      <alignment horizontal="left"/>
    </xf>
    <xf numFmtId="0" fontId="1" fillId="0" borderId="14" xfId="0" applyFont="1" applyBorder="1" applyAlignment="1">
      <alignment horizontal="left"/>
    </xf>
    <xf numFmtId="0" fontId="0" fillId="12" borderId="61" xfId="0" applyFill="1" applyBorder="1" applyAlignment="1">
      <alignment horizontal="center" wrapText="1"/>
    </xf>
    <xf numFmtId="0" fontId="0" fillId="12" borderId="63" xfId="0" applyFill="1" applyBorder="1" applyAlignment="1">
      <alignment horizontal="center" wrapText="1"/>
    </xf>
    <xf numFmtId="0" fontId="0" fillId="12" borderId="62" xfId="0" applyFill="1" applyBorder="1" applyAlignment="1">
      <alignment horizontal="center" wrapText="1"/>
    </xf>
    <xf numFmtId="0" fontId="1" fillId="4" borderId="61" xfId="0" applyFont="1" applyFill="1" applyBorder="1" applyAlignment="1">
      <alignment horizontal="center" vertical="center"/>
    </xf>
    <xf numFmtId="0" fontId="1" fillId="4" borderId="63" xfId="0" applyFont="1" applyFill="1" applyBorder="1" applyAlignment="1">
      <alignment horizontal="center" vertical="center"/>
    </xf>
    <xf numFmtId="0" fontId="1" fillId="4" borderId="62" xfId="0" applyFont="1" applyFill="1" applyBorder="1" applyAlignment="1">
      <alignment horizontal="center" vertical="center"/>
    </xf>
    <xf numFmtId="0" fontId="1" fillId="0" borderId="67" xfId="0" applyFont="1" applyFill="1" applyBorder="1" applyAlignment="1" applyProtection="1">
      <alignment horizontal="left" vertical="center"/>
    </xf>
    <xf numFmtId="0" fontId="1" fillId="0" borderId="71" xfId="0" applyFont="1" applyFill="1" applyBorder="1" applyAlignment="1" applyProtection="1">
      <alignment horizontal="left" vertical="center"/>
    </xf>
    <xf numFmtId="0" fontId="1" fillId="0" borderId="20" xfId="0" applyFont="1" applyFill="1" applyBorder="1" applyAlignment="1" applyProtection="1">
      <alignment horizontal="left" vertical="center"/>
    </xf>
    <xf numFmtId="0" fontId="0" fillId="0" borderId="67" xfId="0" applyFont="1" applyFill="1" applyBorder="1" applyAlignment="1" applyProtection="1">
      <alignment horizontal="left" vertical="center"/>
    </xf>
    <xf numFmtId="0" fontId="0" fillId="0" borderId="71" xfId="0" applyFont="1" applyFill="1" applyBorder="1" applyAlignment="1" applyProtection="1">
      <alignment horizontal="left" vertical="center"/>
    </xf>
    <xf numFmtId="0" fontId="0" fillId="0" borderId="20" xfId="0" applyFont="1" applyFill="1" applyBorder="1" applyAlignment="1" applyProtection="1">
      <alignment horizontal="left" vertical="center"/>
    </xf>
    <xf numFmtId="0" fontId="0" fillId="0" borderId="68" xfId="0" applyFont="1" applyFill="1" applyBorder="1" applyAlignment="1" applyProtection="1">
      <alignment horizontal="left" vertical="center"/>
    </xf>
    <xf numFmtId="0" fontId="0" fillId="0" borderId="78" xfId="0" applyFont="1" applyFill="1" applyBorder="1" applyAlignment="1" applyProtection="1">
      <alignment horizontal="left" vertical="center"/>
    </xf>
    <xf numFmtId="0" fontId="0" fillId="0" borderId="69" xfId="0" applyFont="1" applyFill="1" applyBorder="1" applyAlignment="1" applyProtection="1">
      <alignment horizontal="left" vertical="center"/>
    </xf>
    <xf numFmtId="0" fontId="1" fillId="0" borderId="68" xfId="0" applyFont="1" applyFill="1" applyBorder="1" applyAlignment="1" applyProtection="1">
      <alignment horizontal="left" vertical="center"/>
    </xf>
    <xf numFmtId="0" fontId="1" fillId="0" borderId="69" xfId="0" applyFont="1" applyFill="1" applyBorder="1" applyAlignment="1" applyProtection="1">
      <alignment horizontal="left" vertical="center"/>
    </xf>
    <xf numFmtId="0" fontId="1" fillId="0" borderId="37" xfId="0" applyFont="1" applyFill="1" applyBorder="1" applyAlignment="1" applyProtection="1">
      <alignment horizontal="left" vertical="center"/>
    </xf>
    <xf numFmtId="0" fontId="1" fillId="0" borderId="51" xfId="0" applyFont="1" applyFill="1" applyBorder="1" applyAlignment="1" applyProtection="1">
      <alignment horizontal="left" vertical="center"/>
    </xf>
    <xf numFmtId="0" fontId="0" fillId="0" borderId="44" xfId="0" applyFont="1" applyFill="1" applyBorder="1" applyAlignment="1" applyProtection="1">
      <alignment horizontal="left" vertical="center"/>
    </xf>
    <xf numFmtId="0" fontId="0" fillId="0" borderId="84" xfId="0" applyFont="1" applyFill="1" applyBorder="1" applyAlignment="1" applyProtection="1">
      <alignment horizontal="left" vertical="center"/>
    </xf>
    <xf numFmtId="0" fontId="1" fillId="0" borderId="41" xfId="0" applyFont="1" applyFill="1" applyBorder="1" applyAlignment="1" applyProtection="1">
      <alignment horizontal="left" vertical="center"/>
    </xf>
    <xf numFmtId="0" fontId="1" fillId="0" borderId="16" xfId="0" applyFont="1" applyFill="1" applyBorder="1" applyAlignment="1" applyProtection="1">
      <alignment horizontal="left" vertical="center"/>
    </xf>
    <xf numFmtId="0" fontId="0" fillId="0" borderId="19" xfId="0" applyFont="1" applyFill="1" applyBorder="1" applyAlignment="1" applyProtection="1">
      <alignment horizontal="left" vertical="center"/>
    </xf>
    <xf numFmtId="0" fontId="0" fillId="0" borderId="85" xfId="0" applyFont="1" applyFill="1" applyBorder="1" applyAlignment="1" applyProtection="1">
      <alignment horizontal="left" vertical="center"/>
    </xf>
    <xf numFmtId="169" fontId="0" fillId="0" borderId="19" xfId="0" applyNumberFormat="1" applyFont="1" applyFill="1" applyBorder="1" applyAlignment="1" applyProtection="1">
      <alignment horizontal="left" vertical="center"/>
    </xf>
    <xf numFmtId="169" fontId="0" fillId="0" borderId="71" xfId="0" applyNumberFormat="1" applyFont="1" applyFill="1" applyBorder="1" applyAlignment="1" applyProtection="1">
      <alignment horizontal="left" vertical="center"/>
    </xf>
    <xf numFmtId="169" fontId="0" fillId="0" borderId="85" xfId="0" applyNumberFormat="1" applyFont="1" applyFill="1" applyBorder="1" applyAlignment="1" applyProtection="1">
      <alignment horizontal="left" vertical="center"/>
    </xf>
    <xf numFmtId="169" fontId="25" fillId="0" borderId="5" xfId="0" applyNumberFormat="1" applyFont="1" applyFill="1" applyBorder="1" applyAlignment="1" applyProtection="1">
      <alignment horizontal="center" vertical="center"/>
    </xf>
    <xf numFmtId="169" fontId="25" fillId="0" borderId="1" xfId="0" applyNumberFormat="1" applyFont="1" applyFill="1" applyBorder="1" applyAlignment="1" applyProtection="1">
      <alignment horizontal="center" vertical="center"/>
    </xf>
    <xf numFmtId="169" fontId="25" fillId="0" borderId="6" xfId="0" applyNumberFormat="1" applyFont="1" applyFill="1" applyBorder="1" applyAlignment="1" applyProtection="1">
      <alignment horizontal="center" vertical="center"/>
    </xf>
    <xf numFmtId="0" fontId="0" fillId="0" borderId="70" xfId="0" applyFont="1" applyFill="1" applyBorder="1" applyAlignment="1" applyProtection="1">
      <alignment horizontal="left" vertical="center"/>
    </xf>
    <xf numFmtId="0" fontId="0" fillId="0" borderId="86" xfId="0" applyFont="1" applyFill="1" applyBorder="1" applyAlignment="1" applyProtection="1">
      <alignment horizontal="left" vertical="center"/>
    </xf>
    <xf numFmtId="0" fontId="14" fillId="0" borderId="19" xfId="0" applyFont="1" applyFill="1" applyBorder="1" applyAlignment="1" applyProtection="1">
      <alignment horizontal="center" vertical="center"/>
    </xf>
    <xf numFmtId="0" fontId="14" fillId="0" borderId="71" xfId="0" applyFont="1" applyFill="1" applyBorder="1" applyAlignment="1" applyProtection="1">
      <alignment horizontal="center" vertical="center"/>
    </xf>
    <xf numFmtId="0" fontId="14" fillId="0" borderId="20" xfId="0" applyFont="1" applyFill="1" applyBorder="1" applyAlignment="1" applyProtection="1">
      <alignment horizontal="center" vertical="center"/>
    </xf>
    <xf numFmtId="169" fontId="25" fillId="0" borderId="5" xfId="0" applyNumberFormat="1" applyFont="1" applyBorder="1" applyAlignment="1" applyProtection="1">
      <alignment horizontal="center" vertical="center"/>
    </xf>
    <xf numFmtId="169" fontId="25" fillId="0" borderId="6" xfId="0" applyNumberFormat="1" applyFont="1" applyBorder="1" applyAlignment="1" applyProtection="1">
      <alignment horizontal="center" vertical="center"/>
    </xf>
    <xf numFmtId="0" fontId="1" fillId="0" borderId="13" xfId="0" applyFont="1" applyFill="1" applyBorder="1" applyAlignment="1" applyProtection="1">
      <alignment horizontal="left" vertical="center"/>
    </xf>
    <xf numFmtId="0" fontId="1" fillId="0" borderId="14" xfId="0" applyFont="1" applyFill="1" applyBorder="1" applyAlignment="1" applyProtection="1">
      <alignment horizontal="left" vertical="center"/>
    </xf>
    <xf numFmtId="0" fontId="1" fillId="0" borderId="0" xfId="0" applyFont="1" applyFill="1" applyBorder="1" applyAlignment="1" applyProtection="1">
      <alignment horizontal="left" vertical="center"/>
    </xf>
    <xf numFmtId="0" fontId="0" fillId="0" borderId="0" xfId="0" applyFont="1" applyFill="1" applyBorder="1" applyAlignment="1" applyProtection="1">
      <alignment horizontal="left" vertical="center"/>
    </xf>
    <xf numFmtId="0" fontId="0" fillId="0" borderId="12" xfId="0" applyFont="1" applyFill="1" applyBorder="1" applyAlignment="1" applyProtection="1">
      <alignment horizontal="left" vertical="center"/>
    </xf>
    <xf numFmtId="0" fontId="0" fillId="0" borderId="1" xfId="0" applyFont="1" applyFill="1" applyBorder="1" applyAlignment="1" applyProtection="1">
      <alignment horizontal="left" vertical="center"/>
    </xf>
    <xf numFmtId="0" fontId="0" fillId="0" borderId="6" xfId="0" applyFont="1" applyFill="1" applyBorder="1" applyAlignment="1" applyProtection="1">
      <alignment horizontal="left" vertical="center"/>
    </xf>
    <xf numFmtId="0" fontId="0" fillId="0" borderId="14" xfId="0" applyFont="1" applyFill="1" applyBorder="1" applyAlignment="1" applyProtection="1">
      <alignment horizontal="left" vertical="center"/>
    </xf>
    <xf numFmtId="0" fontId="0" fillId="0" borderId="15" xfId="0" applyFont="1" applyFill="1" applyBorder="1" applyAlignment="1" applyProtection="1">
      <alignment horizontal="left" vertical="center"/>
    </xf>
    <xf numFmtId="0" fontId="0" fillId="0" borderId="0" xfId="0" applyFont="1" applyFill="1" applyBorder="1" applyAlignment="1" applyProtection="1">
      <alignment horizontal="center" vertical="center" wrapText="1"/>
    </xf>
    <xf numFmtId="2" fontId="9" fillId="0" borderId="0" xfId="0" applyNumberFormat="1" applyFont="1" applyFill="1" applyBorder="1" applyAlignment="1" applyProtection="1">
      <alignment horizontal="center" vertical="center"/>
    </xf>
    <xf numFmtId="0" fontId="16" fillId="0" borderId="14" xfId="0" applyFont="1" applyBorder="1" applyAlignment="1" applyProtection="1">
      <alignment horizontal="center" vertical="center"/>
    </xf>
    <xf numFmtId="0" fontId="14" fillId="0" borderId="95" xfId="0" applyFont="1" applyFill="1" applyBorder="1" applyAlignment="1" applyProtection="1">
      <alignment horizontal="center" vertical="center"/>
    </xf>
    <xf numFmtId="0" fontId="14" fillId="0" borderId="16" xfId="0" applyFont="1" applyFill="1" applyBorder="1" applyAlignment="1" applyProtection="1">
      <alignment horizontal="center" vertical="center"/>
    </xf>
    <xf numFmtId="0" fontId="15" fillId="0" borderId="64" xfId="0" applyFont="1" applyBorder="1" applyAlignment="1" applyProtection="1">
      <alignment horizontal="center" vertical="center"/>
    </xf>
    <xf numFmtId="0" fontId="15" fillId="0" borderId="77" xfId="0" applyFont="1" applyBorder="1" applyAlignment="1" applyProtection="1">
      <alignment horizontal="center" vertical="center"/>
    </xf>
    <xf numFmtId="0" fontId="14" fillId="0" borderId="0" xfId="0" applyFont="1" applyFill="1" applyBorder="1" applyAlignment="1" applyProtection="1">
      <alignment horizontal="left" vertical="center"/>
      <protection locked="0"/>
    </xf>
    <xf numFmtId="0" fontId="16" fillId="0" borderId="0" xfId="0" applyFont="1" applyFill="1" applyBorder="1" applyAlignment="1" applyProtection="1">
      <alignment horizontal="center" vertical="center"/>
      <protection locked="0"/>
    </xf>
    <xf numFmtId="0" fontId="15" fillId="0" borderId="37" xfId="0" applyFont="1" applyBorder="1" applyAlignment="1" applyProtection="1">
      <alignment horizontal="center" vertical="center"/>
    </xf>
    <xf numFmtId="0" fontId="15" fillId="0" borderId="75" xfId="0" applyFont="1" applyBorder="1" applyAlignment="1" applyProtection="1">
      <alignment horizontal="center" vertical="center"/>
    </xf>
    <xf numFmtId="0" fontId="15" fillId="0" borderId="51" xfId="0" applyFont="1" applyBorder="1" applyAlignment="1" applyProtection="1">
      <alignment horizontal="center" vertical="center"/>
    </xf>
    <xf numFmtId="0" fontId="15" fillId="0" borderId="76" xfId="0" applyFont="1" applyBorder="1" applyAlignment="1" applyProtection="1">
      <alignment horizontal="center" vertical="center"/>
    </xf>
    <xf numFmtId="0" fontId="15" fillId="0" borderId="51" xfId="0" applyFont="1" applyBorder="1" applyAlignment="1" applyProtection="1">
      <alignment horizontal="center" vertical="center" wrapText="1"/>
    </xf>
    <xf numFmtId="0" fontId="15" fillId="0" borderId="76" xfId="0" applyFont="1" applyBorder="1" applyAlignment="1" applyProtection="1">
      <alignment horizontal="center" vertical="center" wrapText="1"/>
    </xf>
    <xf numFmtId="0" fontId="0" fillId="0" borderId="51" xfId="0" applyBorder="1" applyAlignment="1" applyProtection="1">
      <alignment horizontal="center" vertical="center"/>
    </xf>
    <xf numFmtId="0" fontId="0" fillId="0" borderId="76" xfId="0" applyBorder="1" applyAlignment="1" applyProtection="1">
      <alignment horizontal="center" vertical="center"/>
    </xf>
    <xf numFmtId="0" fontId="1" fillId="0" borderId="5" xfId="0" applyFont="1" applyBorder="1" applyAlignment="1">
      <alignment horizontal="center"/>
    </xf>
    <xf numFmtId="0" fontId="1" fillId="0" borderId="1" xfId="0" applyFont="1" applyBorder="1" applyAlignment="1">
      <alignment horizontal="center"/>
    </xf>
    <xf numFmtId="0" fontId="1" fillId="0" borderId="6" xfId="0" applyFont="1" applyBorder="1" applyAlignment="1">
      <alignment horizontal="center"/>
    </xf>
    <xf numFmtId="0" fontId="1" fillId="0" borderId="81" xfId="0" applyFont="1" applyBorder="1" applyAlignment="1">
      <alignment horizontal="center"/>
    </xf>
    <xf numFmtId="0" fontId="1" fillId="0" borderId="72" xfId="0" applyFont="1" applyBorder="1" applyAlignment="1">
      <alignment horizontal="center"/>
    </xf>
    <xf numFmtId="0" fontId="1" fillId="0" borderId="7" xfId="0" applyFont="1" applyBorder="1" applyAlignment="1">
      <alignment horizontal="center" vertical="center"/>
    </xf>
    <xf numFmtId="0" fontId="1" fillId="0" borderId="2" xfId="0" applyFont="1" applyBorder="1" applyAlignment="1">
      <alignment horizontal="center" vertical="center"/>
    </xf>
    <xf numFmtId="0" fontId="1" fillId="0" borderId="8" xfId="0" applyFont="1" applyBorder="1" applyAlignment="1">
      <alignment horizontal="center" vertical="center"/>
    </xf>
    <xf numFmtId="0" fontId="12" fillId="0" borderId="89" xfId="0" applyFont="1" applyFill="1" applyBorder="1" applyAlignment="1" applyProtection="1">
      <alignment horizontal="left" vertical="top" wrapText="1"/>
    </xf>
    <xf numFmtId="0" fontId="12" fillId="0" borderId="91" xfId="0" applyFont="1" applyFill="1" applyBorder="1" applyAlignment="1" applyProtection="1">
      <alignment horizontal="left" vertical="top" wrapText="1"/>
    </xf>
    <xf numFmtId="0" fontId="12" fillId="0" borderId="92" xfId="0" applyFont="1" applyFill="1" applyBorder="1" applyAlignment="1" applyProtection="1">
      <alignment horizontal="left" vertical="top" wrapText="1"/>
    </xf>
    <xf numFmtId="0" fontId="12" fillId="0" borderId="9" xfId="0"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xf>
    <xf numFmtId="0" fontId="12" fillId="0" borderId="3" xfId="0" applyFont="1" applyFill="1" applyBorder="1" applyAlignment="1" applyProtection="1">
      <alignment horizontal="left" vertical="top" wrapText="1"/>
    </xf>
    <xf numFmtId="0" fontId="12" fillId="0" borderId="10" xfId="0" applyFont="1" applyFill="1" applyBorder="1" applyAlignment="1" applyProtection="1">
      <alignment horizontal="left" vertical="top" wrapText="1"/>
    </xf>
    <xf numFmtId="0" fontId="12" fillId="0" borderId="4" xfId="0" applyFont="1" applyFill="1" applyBorder="1" applyAlignment="1" applyProtection="1">
      <alignment horizontal="left" vertical="top" wrapText="1"/>
    </xf>
    <xf numFmtId="0" fontId="12" fillId="0" borderId="11" xfId="0" applyFont="1" applyFill="1" applyBorder="1" applyAlignment="1" applyProtection="1">
      <alignment horizontal="left" vertical="top" wrapText="1"/>
    </xf>
    <xf numFmtId="0" fontId="1" fillId="0" borderId="65" xfId="0" applyFont="1" applyFill="1" applyBorder="1" applyAlignment="1">
      <alignment horizontal="center"/>
    </xf>
    <xf numFmtId="0" fontId="1" fillId="0" borderId="79" xfId="0" applyFont="1" applyFill="1" applyBorder="1" applyAlignment="1">
      <alignment horizontal="center"/>
    </xf>
    <xf numFmtId="0" fontId="14" fillId="7" borderId="89" xfId="0" applyFont="1" applyFill="1" applyBorder="1" applyAlignment="1" applyProtection="1">
      <alignment horizontal="center" vertical="center"/>
      <protection locked="0"/>
    </xf>
    <xf numFmtId="0" fontId="14" fillId="7" borderId="90" xfId="0" applyFont="1" applyFill="1" applyBorder="1" applyAlignment="1" applyProtection="1">
      <alignment horizontal="center" vertical="center"/>
      <protection locked="0"/>
    </xf>
    <xf numFmtId="0" fontId="14" fillId="7" borderId="81" xfId="0" applyFont="1" applyFill="1" applyBorder="1" applyAlignment="1" applyProtection="1">
      <alignment horizontal="center" vertical="center"/>
      <protection locked="0"/>
    </xf>
    <xf numFmtId="0" fontId="14" fillId="7" borderId="88" xfId="0" applyFont="1" applyFill="1" applyBorder="1" applyAlignment="1" applyProtection="1">
      <alignment horizontal="center" vertical="center"/>
      <protection locked="0"/>
    </xf>
    <xf numFmtId="0" fontId="14" fillId="7" borderId="93" xfId="0" applyFont="1" applyFill="1" applyBorder="1" applyAlignment="1" applyProtection="1">
      <alignment horizontal="left" vertical="center" wrapText="1"/>
      <protection locked="0"/>
    </xf>
    <xf numFmtId="0" fontId="14" fillId="7" borderId="91" xfId="0" applyFont="1" applyFill="1" applyBorder="1" applyAlignment="1" applyProtection="1">
      <alignment horizontal="left" vertical="center" wrapText="1"/>
      <protection locked="0"/>
    </xf>
    <xf numFmtId="0" fontId="14" fillId="7" borderId="92" xfId="0" applyFont="1" applyFill="1" applyBorder="1" applyAlignment="1" applyProtection="1">
      <alignment horizontal="left" vertical="center" wrapText="1"/>
      <protection locked="0"/>
    </xf>
    <xf numFmtId="0" fontId="14" fillId="7" borderId="82" xfId="0" applyFont="1" applyFill="1" applyBorder="1" applyAlignment="1" applyProtection="1">
      <alignment horizontal="left" vertical="center" wrapText="1"/>
      <protection locked="0"/>
    </xf>
    <xf numFmtId="0" fontId="14" fillId="7" borderId="72" xfId="0" applyFont="1" applyFill="1" applyBorder="1" applyAlignment="1" applyProtection="1">
      <alignment horizontal="left" vertical="center" wrapText="1"/>
      <protection locked="0"/>
    </xf>
    <xf numFmtId="0" fontId="14" fillId="7" borderId="83" xfId="0" applyFont="1" applyFill="1" applyBorder="1" applyAlignment="1" applyProtection="1">
      <alignment horizontal="left" vertical="center" wrapText="1"/>
      <protection locked="0"/>
    </xf>
    <xf numFmtId="0" fontId="14" fillId="4" borderId="7" xfId="0" applyFont="1" applyFill="1" applyBorder="1" applyAlignment="1" applyProtection="1">
      <alignment horizontal="center" vertical="center"/>
      <protection locked="0"/>
    </xf>
    <xf numFmtId="0" fontId="14" fillId="4" borderId="74" xfId="0" applyFont="1" applyFill="1" applyBorder="1" applyAlignment="1" applyProtection="1">
      <alignment horizontal="center" vertical="center"/>
      <protection locked="0"/>
    </xf>
    <xf numFmtId="0" fontId="14" fillId="0" borderId="80" xfId="0" applyFont="1" applyBorder="1" applyAlignment="1">
      <alignment horizontal="left" vertical="center" wrapText="1"/>
    </xf>
    <xf numFmtId="0" fontId="14" fillId="0" borderId="2" xfId="0" applyFont="1" applyBorder="1" applyAlignment="1">
      <alignment horizontal="left" vertical="center" wrapText="1"/>
    </xf>
    <xf numFmtId="0" fontId="14" fillId="0" borderId="8" xfId="0" applyFont="1" applyBorder="1" applyAlignment="1">
      <alignment horizontal="left" vertical="center" wrapText="1"/>
    </xf>
    <xf numFmtId="165" fontId="2" fillId="0" borderId="77" xfId="1" applyNumberFormat="1" applyFont="1" applyBorder="1" applyAlignment="1" applyProtection="1">
      <alignment horizontal="center" vertical="center"/>
    </xf>
    <xf numFmtId="165" fontId="2" fillId="0" borderId="87" xfId="1" applyNumberFormat="1" applyFont="1" applyBorder="1" applyAlignment="1" applyProtection="1">
      <alignment horizontal="center" vertical="center"/>
    </xf>
    <xf numFmtId="165" fontId="2" fillId="0" borderId="77" xfId="1" applyNumberFormat="1" applyFont="1" applyFill="1" applyBorder="1" applyAlignment="1" applyProtection="1">
      <alignment horizontal="center" vertical="center"/>
    </xf>
    <xf numFmtId="165" fontId="2" fillId="0" borderId="73" xfId="1" applyNumberFormat="1" applyFont="1" applyFill="1" applyBorder="1" applyAlignment="1" applyProtection="1">
      <alignment horizontal="center" vertical="center"/>
    </xf>
    <xf numFmtId="0" fontId="0" fillId="0" borderId="77" xfId="0" applyBorder="1" applyAlignment="1">
      <alignment horizontal="center" vertical="center" wrapText="1"/>
    </xf>
    <xf numFmtId="0" fontId="0" fillId="0" borderId="87" xfId="0" applyBorder="1" applyAlignment="1">
      <alignment horizontal="center" vertical="center" wrapText="1"/>
    </xf>
    <xf numFmtId="0" fontId="14" fillId="0" borderId="72" xfId="0" applyFont="1" applyBorder="1" applyAlignment="1">
      <alignment horizontal="center"/>
    </xf>
  </cellXfs>
  <cellStyles count="6">
    <cellStyle name="Hyperlink" xfId="3" builtinId="8"/>
    <cellStyle name="Normal" xfId="0" builtinId="0"/>
    <cellStyle name="Normal 2" xfId="2" xr:uid="{00000000-0005-0000-0000-000002000000}"/>
    <cellStyle name="Normal 3" xfId="4" xr:uid="{00000000-0005-0000-0000-000003000000}"/>
    <cellStyle name="Normal 4" xfId="5" xr:uid="{00000000-0005-0000-0000-000004000000}"/>
    <cellStyle name="Percent" xfId="1" builtinId="5"/>
  </cellStyles>
  <dxfs count="118">
    <dxf>
      <fill>
        <patternFill>
          <bgColor theme="1" tint="0.24994659260841701"/>
        </patternFill>
      </fill>
    </dxf>
    <dxf>
      <fill>
        <patternFill patternType="lightUp">
          <bgColor rgb="FFC00000"/>
        </patternFill>
      </fill>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ill>
        <patternFill>
          <bgColor rgb="FFFF9999"/>
        </patternFill>
      </fill>
    </dxf>
    <dxf>
      <fill>
        <patternFill>
          <bgColor theme="9" tint="0.59996337778862885"/>
        </patternFill>
      </fill>
    </dxf>
    <dxf>
      <fill>
        <patternFill>
          <bgColor rgb="FFFF9999"/>
        </patternFill>
      </fill>
    </dxf>
    <dxf>
      <fill>
        <patternFill>
          <bgColor theme="9" tint="0.59996337778862885"/>
        </patternFill>
      </fill>
    </dxf>
    <dxf>
      <fill>
        <patternFill>
          <bgColor theme="1" tint="0.24994659260841701"/>
        </patternFill>
      </fill>
    </dxf>
    <dxf>
      <fill>
        <patternFill patternType="none">
          <bgColor auto="1"/>
        </patternFill>
      </fill>
      <border>
        <left/>
        <right/>
        <top/>
        <bottom/>
        <vertical/>
        <horizontal/>
      </border>
    </dxf>
    <dxf>
      <fill>
        <patternFill>
          <bgColor theme="0"/>
        </patternFill>
      </fill>
    </dxf>
    <dxf>
      <fill>
        <patternFill>
          <bgColor theme="0"/>
        </patternFill>
      </fill>
    </dxf>
    <dxf>
      <fill>
        <patternFill>
          <bgColor theme="0"/>
        </patternFill>
      </fill>
    </dxf>
    <dxf>
      <fill>
        <patternFill>
          <bgColor rgb="FFFF7C80"/>
        </patternFill>
      </fill>
    </dxf>
    <dxf>
      <font>
        <color theme="0" tint="-0.499984740745262"/>
      </font>
      <fill>
        <patternFill>
          <bgColor theme="1" tint="0.499984740745262"/>
        </patternFill>
      </fill>
    </dxf>
    <dxf>
      <fill>
        <patternFill>
          <bgColor rgb="FFFF7C80"/>
        </patternFill>
      </fill>
    </dxf>
    <dxf>
      <border>
        <left style="thin">
          <color auto="1"/>
        </left>
        <right style="thin">
          <color auto="1"/>
        </right>
        <top style="thin">
          <color auto="1"/>
        </top>
        <bottom style="thin">
          <color auto="1"/>
        </bottom>
        <vertical/>
        <horizontal/>
      </border>
    </dxf>
    <dxf>
      <font>
        <color theme="0" tint="-0.499984740745262"/>
      </font>
      <fill>
        <patternFill>
          <bgColor theme="1" tint="0.499984740745262"/>
        </patternFill>
      </fill>
    </dxf>
    <dxf>
      <font>
        <color theme="0"/>
      </font>
      <fill>
        <patternFill>
          <bgColor theme="0"/>
        </patternFill>
      </fill>
    </dxf>
    <dxf>
      <font>
        <color theme="0" tint="-0.499984740745262"/>
      </font>
      <fill>
        <patternFill>
          <bgColor theme="1" tint="0.499984740745262"/>
        </patternFill>
      </fill>
      <border>
        <left/>
        <right/>
        <top/>
        <bottom/>
      </border>
    </dxf>
    <dxf>
      <font>
        <color theme="0"/>
      </font>
      <fill>
        <patternFill>
          <bgColor theme="0"/>
        </patternFill>
      </fill>
      <border>
        <left/>
        <right/>
        <top/>
        <bottom/>
      </border>
    </dxf>
    <dxf>
      <border>
        <left style="thin">
          <color auto="1"/>
        </left>
        <right style="thin">
          <color auto="1"/>
        </right>
        <top style="thin">
          <color auto="1"/>
        </top>
        <bottom style="thin">
          <color auto="1"/>
        </bottom>
        <vertical/>
        <horizontal/>
      </border>
    </dxf>
    <dxf>
      <fill>
        <patternFill>
          <bgColor rgb="FFFF7C80"/>
        </patternFill>
      </fill>
    </dxf>
    <dxf>
      <fill>
        <patternFill>
          <bgColor theme="0" tint="-0.499984740745262"/>
        </patternFill>
      </fill>
    </dxf>
    <dxf>
      <fill>
        <patternFill>
          <bgColor theme="2" tint="-9.9948118533890809E-2"/>
        </patternFill>
      </fill>
    </dxf>
    <dxf>
      <fill>
        <patternFill>
          <bgColor rgb="FFFF7C80"/>
        </patternFill>
      </fill>
    </dxf>
    <dxf>
      <fill>
        <patternFill>
          <bgColor theme="2" tint="-9.9948118533890809E-2"/>
        </patternFill>
      </fill>
    </dxf>
    <dxf>
      <border>
        <left style="thin">
          <color auto="1"/>
        </left>
        <right style="thin">
          <color auto="1"/>
        </right>
        <top style="thin">
          <color auto="1"/>
        </top>
        <bottom style="thin">
          <color auto="1"/>
        </bottom>
        <vertical/>
        <horizontal/>
      </border>
    </dxf>
    <dxf>
      <fill>
        <patternFill>
          <bgColor theme="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patternType="lightUp">
          <bgColor rgb="FFC00000"/>
        </patternFill>
      </fill>
    </dxf>
    <dxf>
      <fill>
        <patternFill>
          <bgColor theme="9" tint="0.39994506668294322"/>
        </patternFill>
      </fill>
    </dxf>
    <dxf>
      <fill>
        <patternFill>
          <bgColor rgb="FFFF7C8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s>
  <tableStyles count="0" defaultTableStyle="TableStyleMedium2" defaultPivotStyle="PivotStyleLight16"/>
  <colors>
    <mruColors>
      <color rgb="FFFF7C80"/>
      <color rgb="FFFFCCFF"/>
      <color rgb="FF009900"/>
      <color rgb="FFFF6699"/>
      <color rgb="FFFF9999"/>
      <color rgb="FFFF9B9B"/>
      <color rgb="FFFF7171"/>
      <color rgb="FFA9D08E"/>
      <color rgb="FFCCFFCC"/>
      <color rgb="FF33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charts/_rels/chart1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Current </a:t>
            </a:r>
            <a:r>
              <a:rPr lang="en-US" sz="1000"/>
              <a:t>Distortion </a:t>
            </a:r>
            <a:r>
              <a:rPr lang="en-US"/>
              <a:t>% vs Harmonic Number</a:t>
            </a:r>
          </a:p>
        </c:rich>
      </c:tx>
      <c:overlay val="0"/>
    </c:title>
    <c:autoTitleDeleted val="0"/>
    <c:plotArea>
      <c:layout>
        <c:manualLayout>
          <c:layoutTarget val="inner"/>
          <c:xMode val="edge"/>
          <c:yMode val="edge"/>
          <c:x val="7.8585706987968781E-2"/>
          <c:y val="0.1286487242373392"/>
          <c:w val="0.90396561503637551"/>
          <c:h val="0.73809883395723075"/>
        </c:manualLayout>
      </c:layout>
      <c:barChart>
        <c:barDir val="col"/>
        <c:grouping val="clustered"/>
        <c:varyColors val="0"/>
        <c:ser>
          <c:idx val="0"/>
          <c:order val="0"/>
          <c:tx>
            <c:strRef>
              <c:f>Sum!$BK$6</c:f>
              <c:strCache>
                <c:ptCount val="1"/>
                <c:pt idx="0">
                  <c:v>Ih %</c:v>
                </c:pt>
              </c:strCache>
            </c:strRef>
          </c:tx>
          <c:spPr>
            <a:solidFill>
              <a:srgbClr val="C00000"/>
            </a:solidFill>
          </c:spPr>
          <c:invertIfNegative val="0"/>
          <c:dPt>
            <c:idx val="51"/>
            <c:invertIfNegative val="0"/>
            <c:bubble3D val="0"/>
            <c:spPr>
              <a:pattFill prst="narHorz">
                <a:fgClr>
                  <a:srgbClr val="C00000"/>
                </a:fgClr>
                <a:bgClr>
                  <a:schemeClr val="bg1"/>
                </a:bgClr>
              </a:pattFill>
            </c:spPr>
            <c:extLst>
              <c:ext xmlns:c16="http://schemas.microsoft.com/office/drawing/2014/chart" uri="{C3380CC4-5D6E-409C-BE32-E72D297353CC}">
                <c16:uniqueId val="{00000001-D1D4-484D-8B14-35AC53A4491E}"/>
              </c:ext>
            </c:extLst>
          </c:dPt>
          <c:cat>
            <c:strRef>
              <c:f>Sum!$BJ$7:$BJ$58</c:f>
              <c:strCache>
                <c:ptCount val="52"/>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pt idx="39">
                  <c:v>41</c:v>
                </c:pt>
                <c:pt idx="40">
                  <c:v>42</c:v>
                </c:pt>
                <c:pt idx="41">
                  <c:v>43</c:v>
                </c:pt>
                <c:pt idx="42">
                  <c:v>44</c:v>
                </c:pt>
                <c:pt idx="43">
                  <c:v>45</c:v>
                </c:pt>
                <c:pt idx="44">
                  <c:v>46</c:v>
                </c:pt>
                <c:pt idx="45">
                  <c:v>47</c:v>
                </c:pt>
                <c:pt idx="46">
                  <c:v>48</c:v>
                </c:pt>
                <c:pt idx="47">
                  <c:v>49</c:v>
                </c:pt>
                <c:pt idx="48">
                  <c:v>50</c:v>
                </c:pt>
                <c:pt idx="51">
                  <c:v>TDD</c:v>
                </c:pt>
              </c:strCache>
            </c:strRef>
          </c:cat>
          <c:val>
            <c:numRef>
              <c:f>Sum!$BK$7:$BK$58</c:f>
              <c:numCache>
                <c:formatCode>0.00</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51" formatCode="0.000">
                  <c:v>0</c:v>
                </c:pt>
              </c:numCache>
            </c:numRef>
          </c:val>
          <c:extLst>
            <c:ext xmlns:c16="http://schemas.microsoft.com/office/drawing/2014/chart" uri="{C3380CC4-5D6E-409C-BE32-E72D297353CC}">
              <c16:uniqueId val="{00000002-D1D4-484D-8B14-35AC53A4491E}"/>
            </c:ext>
          </c:extLst>
        </c:ser>
        <c:dLbls>
          <c:showLegendKey val="0"/>
          <c:showVal val="0"/>
          <c:showCatName val="0"/>
          <c:showSerName val="0"/>
          <c:showPercent val="0"/>
          <c:showBubbleSize val="0"/>
        </c:dLbls>
        <c:gapWidth val="150"/>
        <c:axId val="315430904"/>
        <c:axId val="315432864"/>
        <c:extLst/>
      </c:barChart>
      <c:catAx>
        <c:axId val="31543090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Harmonic Number</a:t>
                </a:r>
              </a:p>
            </c:rich>
          </c:tx>
          <c:layout>
            <c:manualLayout>
              <c:xMode val="edge"/>
              <c:yMode val="edge"/>
              <c:x val="0.84302576675444396"/>
              <c:y val="0.93248050738525701"/>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15432864"/>
        <c:crosses val="autoZero"/>
        <c:auto val="0"/>
        <c:lblAlgn val="ctr"/>
        <c:lblOffset val="100"/>
        <c:tickLblSkip val="1"/>
        <c:tickMarkSkip val="1"/>
        <c:noMultiLvlLbl val="0"/>
      </c:catAx>
      <c:valAx>
        <c:axId val="315432864"/>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a:t>
                </a:r>
              </a:p>
            </c:rich>
          </c:tx>
          <c:layout>
            <c:manualLayout>
              <c:xMode val="edge"/>
              <c:yMode val="edge"/>
              <c:x val="1.6853423523401856E-2"/>
              <c:y val="0.13824964502388021"/>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1543090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 r="0.75"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J2 vs PU Load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2"/>
          <c:order val="2"/>
          <c:spPr>
            <a:ln w="19050" cap="rnd">
              <a:solidFill>
                <a:schemeClr val="accent3"/>
              </a:solidFill>
              <a:round/>
            </a:ln>
            <a:effectLst/>
          </c:spPr>
          <c:marker>
            <c:symbol val="none"/>
          </c:marker>
          <c:trendline>
            <c:spPr>
              <a:ln w="19050" cap="rnd">
                <a:solidFill>
                  <a:schemeClr val="accent3"/>
                </a:solidFill>
                <a:prstDash val="sysDot"/>
              </a:ln>
              <a:effectLst/>
            </c:spPr>
            <c:trendlineType val="linear"/>
            <c:dispRSqr val="0"/>
            <c:dispEq val="1"/>
            <c:trendlineLbl>
              <c:layout>
                <c:manualLayout>
                  <c:x val="-1.8127077865266843E-2"/>
                  <c:y val="-5.9488188976377976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'A08'!$O$13:$O$17</c:f>
              <c:numCache>
                <c:formatCode>0.000</c:formatCode>
                <c:ptCount val="5"/>
                <c:pt idx="0">
                  <c:v>1</c:v>
                </c:pt>
                <c:pt idx="1">
                  <c:v>0.8</c:v>
                </c:pt>
                <c:pt idx="2">
                  <c:v>0.6</c:v>
                </c:pt>
                <c:pt idx="3">
                  <c:v>0.4</c:v>
                </c:pt>
                <c:pt idx="4">
                  <c:v>0.2</c:v>
                </c:pt>
              </c:numCache>
            </c:numRef>
          </c:xVal>
          <c:yVal>
            <c:numRef>
              <c:f>'A08'!$R$13:$R$17</c:f>
              <c:numCache>
                <c:formatCode>General</c:formatCode>
                <c:ptCount val="5"/>
                <c:pt idx="0" formatCode="0.000">
                  <c:v>1</c:v>
                </c:pt>
                <c:pt idx="1">
                  <c:v>0.83899999999999997</c:v>
                </c:pt>
                <c:pt idx="2">
                  <c:v>0.66100000000000003</c:v>
                </c:pt>
                <c:pt idx="3">
                  <c:v>0.49099999999999999</c:v>
                </c:pt>
              </c:numCache>
            </c:numRef>
          </c:yVal>
          <c:smooth val="0"/>
          <c:extLst>
            <c:ext xmlns:c16="http://schemas.microsoft.com/office/drawing/2014/chart" uri="{C3380CC4-5D6E-409C-BE32-E72D297353CC}">
              <c16:uniqueId val="{00000001-E58D-49E7-8E8A-0884868167A3}"/>
            </c:ext>
          </c:extLst>
        </c:ser>
        <c:dLbls>
          <c:showLegendKey val="0"/>
          <c:showVal val="0"/>
          <c:showCatName val="0"/>
          <c:showSerName val="0"/>
          <c:showPercent val="0"/>
          <c:showBubbleSize val="0"/>
        </c:dLbls>
        <c:axId val="374086936"/>
        <c:axId val="374087328"/>
        <c:extLst>
          <c:ext xmlns:c15="http://schemas.microsoft.com/office/drawing/2012/chart" uri="{02D57815-91ED-43cb-92C2-25804820EDAC}">
            <c15:filteredScatterSeries>
              <c15:ser>
                <c:idx val="0"/>
                <c:order val="0"/>
                <c:spPr>
                  <a:ln w="19050" cap="rnd">
                    <a:solidFill>
                      <a:schemeClr val="accent1"/>
                    </a:solidFill>
                    <a:round/>
                  </a:ln>
                  <a:effectLst/>
                </c:spPr>
                <c:marker>
                  <c:symbol val="none"/>
                </c:marker>
                <c:xVal>
                  <c:numRef>
                    <c:extLst>
                      <c:ext uri="{02D57815-91ED-43cb-92C2-25804820EDAC}">
                        <c15:formulaRef>
                          <c15:sqref>'A08'!$O$13:$O$17</c15:sqref>
                        </c15:formulaRef>
                      </c:ext>
                    </c:extLst>
                    <c:numCache>
                      <c:formatCode>0.000</c:formatCode>
                      <c:ptCount val="5"/>
                      <c:pt idx="0">
                        <c:v>1</c:v>
                      </c:pt>
                      <c:pt idx="1">
                        <c:v>0.8</c:v>
                      </c:pt>
                      <c:pt idx="2">
                        <c:v>0.6</c:v>
                      </c:pt>
                      <c:pt idx="3">
                        <c:v>0.4</c:v>
                      </c:pt>
                      <c:pt idx="4">
                        <c:v>0.2</c:v>
                      </c:pt>
                    </c:numCache>
                  </c:numRef>
                </c:xVal>
                <c:yVal>
                  <c:numRef>
                    <c:extLst>
                      <c:ext uri="{02D57815-91ED-43cb-92C2-25804820EDAC}">
                        <c15:formulaRef>
                          <c15:sqref>'A08'!$P$13:$P$17</c15:sqref>
                        </c15:formulaRef>
                      </c:ext>
                    </c:extLst>
                    <c:numCache>
                      <c:formatCode>0.000</c:formatCode>
                      <c:ptCount val="5"/>
                      <c:pt idx="0">
                        <c:v>1</c:v>
                      </c:pt>
                      <c:pt idx="1">
                        <c:v>1.06</c:v>
                      </c:pt>
                      <c:pt idx="2">
                        <c:v>1.1040000000000001</c:v>
                      </c:pt>
                      <c:pt idx="3">
                        <c:v>1.1319999999999999</c:v>
                      </c:pt>
                      <c:pt idx="4">
                        <c:v>1.1439999999999999</c:v>
                      </c:pt>
                    </c:numCache>
                  </c:numRef>
                </c:yVal>
                <c:smooth val="0"/>
                <c:extLst>
                  <c:ext xmlns:c16="http://schemas.microsoft.com/office/drawing/2014/chart" uri="{C3380CC4-5D6E-409C-BE32-E72D297353CC}">
                    <c16:uniqueId val="{00000002-E58D-49E7-8E8A-0884868167A3}"/>
                  </c:ext>
                </c:extLst>
              </c15:ser>
            </c15:filteredScatterSeries>
            <c15:filteredScatterSeries>
              <c15:ser>
                <c:idx val="1"/>
                <c:order val="1"/>
                <c:spPr>
                  <a:ln w="19050" cap="rnd">
                    <a:solidFill>
                      <a:schemeClr val="accent2"/>
                    </a:solidFill>
                    <a:round/>
                  </a:ln>
                  <a:effectLst/>
                </c:spPr>
                <c:marker>
                  <c:symbol val="none"/>
                </c:marker>
                <c:xVal>
                  <c:numRef>
                    <c:extLst xmlns:c15="http://schemas.microsoft.com/office/drawing/2012/chart">
                      <c:ext xmlns:c15="http://schemas.microsoft.com/office/drawing/2012/chart" uri="{02D57815-91ED-43cb-92C2-25804820EDAC}">
                        <c15:formulaRef>
                          <c15:sqref>'A08'!$O$13:$O$17</c15:sqref>
                        </c15:formulaRef>
                      </c:ext>
                    </c:extLst>
                    <c:numCache>
                      <c:formatCode>0.000</c:formatCode>
                      <c:ptCount val="5"/>
                      <c:pt idx="0">
                        <c:v>1</c:v>
                      </c:pt>
                      <c:pt idx="1">
                        <c:v>0.8</c:v>
                      </c:pt>
                      <c:pt idx="2">
                        <c:v>0.6</c:v>
                      </c:pt>
                      <c:pt idx="3">
                        <c:v>0.4</c:v>
                      </c:pt>
                      <c:pt idx="4">
                        <c:v>0.2</c:v>
                      </c:pt>
                    </c:numCache>
                  </c:numRef>
                </c:xVal>
                <c:yVal>
                  <c:numRef>
                    <c:extLst xmlns:c15="http://schemas.microsoft.com/office/drawing/2012/chart">
                      <c:ext xmlns:c15="http://schemas.microsoft.com/office/drawing/2012/chart" uri="{02D57815-91ED-43cb-92C2-25804820EDAC}">
                        <c15:formulaRef>
                          <c15:sqref>'A08'!$Q$13:$Q$17</c15:sqref>
                        </c15:formulaRef>
                      </c:ext>
                    </c:extLst>
                    <c:numCache>
                      <c:formatCode>0.00</c:formatCode>
                      <c:ptCount val="5"/>
                      <c:pt idx="0">
                        <c:v>7.57</c:v>
                      </c:pt>
                      <c:pt idx="1">
                        <c:v>8.0242000000000004</c:v>
                      </c:pt>
                      <c:pt idx="2">
                        <c:v>8.3572800000000012</c:v>
                      </c:pt>
                      <c:pt idx="3">
                        <c:v>8.5692399999999989</c:v>
                      </c:pt>
                      <c:pt idx="4">
                        <c:v>8.6600799999999989</c:v>
                      </c:pt>
                    </c:numCache>
                  </c:numRef>
                </c:yVal>
                <c:smooth val="0"/>
                <c:extLst xmlns:c15="http://schemas.microsoft.com/office/drawing/2012/chart">
                  <c:ext xmlns:c16="http://schemas.microsoft.com/office/drawing/2014/chart" uri="{C3380CC4-5D6E-409C-BE32-E72D297353CC}">
                    <c16:uniqueId val="{00000003-E58D-49E7-8E8A-0884868167A3}"/>
                  </c:ext>
                </c:extLst>
              </c15:ser>
            </c15:filteredScatterSeries>
          </c:ext>
        </c:extLst>
      </c:scatterChart>
      <c:valAx>
        <c:axId val="374086936"/>
        <c:scaling>
          <c:orientation val="minMax"/>
        </c:scaling>
        <c:delete val="0"/>
        <c:axPos val="b"/>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4087328"/>
        <c:crosses val="autoZero"/>
        <c:crossBetween val="midCat"/>
      </c:valAx>
      <c:valAx>
        <c:axId val="374087328"/>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408693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solidFill>
                <a:schemeClr val="accent1"/>
              </a:solidFill>
              <a:round/>
            </a:ln>
            <a:effectLst/>
          </c:spPr>
          <c:marker>
            <c:symbol val="none"/>
          </c:marker>
          <c:trendline>
            <c:spPr>
              <a:ln w="19050" cap="rnd">
                <a:solidFill>
                  <a:schemeClr val="accent1"/>
                </a:solidFill>
                <a:prstDash val="sysDot"/>
              </a:ln>
              <a:effectLst/>
            </c:spPr>
            <c:trendlineType val="poly"/>
            <c:order val="2"/>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'A09'!$O$13:$O$17</c:f>
              <c:numCache>
                <c:formatCode>0.000</c:formatCode>
                <c:ptCount val="5"/>
                <c:pt idx="0">
                  <c:v>1</c:v>
                </c:pt>
                <c:pt idx="1">
                  <c:v>0.8</c:v>
                </c:pt>
                <c:pt idx="2">
                  <c:v>0.6</c:v>
                </c:pt>
                <c:pt idx="3">
                  <c:v>0.4</c:v>
                </c:pt>
                <c:pt idx="4">
                  <c:v>0.2</c:v>
                </c:pt>
              </c:numCache>
            </c:numRef>
          </c:xVal>
          <c:yVal>
            <c:numRef>
              <c:f>'A09'!$P$13:$P$17</c:f>
              <c:numCache>
                <c:formatCode>0.000</c:formatCode>
                <c:ptCount val="5"/>
                <c:pt idx="0">
                  <c:v>1</c:v>
                </c:pt>
                <c:pt idx="1">
                  <c:v>1.06</c:v>
                </c:pt>
                <c:pt idx="2">
                  <c:v>1.1040000000000001</c:v>
                </c:pt>
                <c:pt idx="3">
                  <c:v>1.1319999999999999</c:v>
                </c:pt>
                <c:pt idx="4">
                  <c:v>1.1439999999999999</c:v>
                </c:pt>
              </c:numCache>
            </c:numRef>
          </c:yVal>
          <c:smooth val="0"/>
          <c:extLst>
            <c:ext xmlns:c16="http://schemas.microsoft.com/office/drawing/2014/chart" uri="{C3380CC4-5D6E-409C-BE32-E72D297353CC}">
              <c16:uniqueId val="{00000001-FDE0-454F-8189-54CA98A6CD77}"/>
            </c:ext>
          </c:extLst>
        </c:ser>
        <c:dLbls>
          <c:showLegendKey val="0"/>
          <c:showVal val="0"/>
          <c:showCatName val="0"/>
          <c:showSerName val="0"/>
          <c:showPercent val="0"/>
          <c:showBubbleSize val="0"/>
        </c:dLbls>
        <c:axId val="374088112"/>
        <c:axId val="374088504"/>
      </c:scatterChart>
      <c:valAx>
        <c:axId val="374088112"/>
        <c:scaling>
          <c:orientation val="minMax"/>
        </c:scaling>
        <c:delete val="0"/>
        <c:axPos val="b"/>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4088504"/>
        <c:crosses val="autoZero"/>
        <c:crossBetween val="midCat"/>
      </c:valAx>
      <c:valAx>
        <c:axId val="374088504"/>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408811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J2 vs PU Load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2"/>
          <c:order val="2"/>
          <c:spPr>
            <a:ln w="19050" cap="rnd">
              <a:solidFill>
                <a:schemeClr val="accent3"/>
              </a:solidFill>
              <a:round/>
            </a:ln>
            <a:effectLst/>
          </c:spPr>
          <c:marker>
            <c:symbol val="none"/>
          </c:marker>
          <c:trendline>
            <c:spPr>
              <a:ln w="19050" cap="rnd">
                <a:solidFill>
                  <a:schemeClr val="accent3"/>
                </a:solidFill>
                <a:prstDash val="sysDot"/>
              </a:ln>
              <a:effectLst/>
            </c:spPr>
            <c:trendlineType val="poly"/>
            <c:order val="2"/>
            <c:dispRSqr val="0"/>
            <c:dispEq val="1"/>
            <c:trendlineLbl>
              <c:layout>
                <c:manualLayout>
                  <c:x val="0.10097025371828522"/>
                  <c:y val="-0.5005646689997084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'A09'!$O$13:$O$17</c:f>
              <c:numCache>
                <c:formatCode>0.000</c:formatCode>
                <c:ptCount val="5"/>
                <c:pt idx="0">
                  <c:v>1</c:v>
                </c:pt>
                <c:pt idx="1">
                  <c:v>0.8</c:v>
                </c:pt>
                <c:pt idx="2">
                  <c:v>0.6</c:v>
                </c:pt>
                <c:pt idx="3">
                  <c:v>0.4</c:v>
                </c:pt>
                <c:pt idx="4">
                  <c:v>0.2</c:v>
                </c:pt>
              </c:numCache>
            </c:numRef>
          </c:xVal>
          <c:yVal>
            <c:numRef>
              <c:f>'A09'!$R$13:$R$17</c:f>
              <c:numCache>
                <c:formatCode>General</c:formatCode>
                <c:ptCount val="5"/>
                <c:pt idx="0" formatCode="0.000">
                  <c:v>1</c:v>
                </c:pt>
                <c:pt idx="1">
                  <c:v>1.0589999999999999</c:v>
                </c:pt>
                <c:pt idx="2">
                  <c:v>1.099</c:v>
                </c:pt>
                <c:pt idx="3">
                  <c:v>1.125</c:v>
                </c:pt>
              </c:numCache>
            </c:numRef>
          </c:yVal>
          <c:smooth val="0"/>
          <c:extLst>
            <c:ext xmlns:c16="http://schemas.microsoft.com/office/drawing/2014/chart" uri="{C3380CC4-5D6E-409C-BE32-E72D297353CC}">
              <c16:uniqueId val="{00000001-21C6-4D20-BBEE-90532C1C3737}"/>
            </c:ext>
          </c:extLst>
        </c:ser>
        <c:dLbls>
          <c:showLegendKey val="0"/>
          <c:showVal val="0"/>
          <c:showCatName val="0"/>
          <c:showSerName val="0"/>
          <c:showPercent val="0"/>
          <c:showBubbleSize val="0"/>
        </c:dLbls>
        <c:axId val="374089288"/>
        <c:axId val="374089680"/>
        <c:extLst>
          <c:ext xmlns:c15="http://schemas.microsoft.com/office/drawing/2012/chart" uri="{02D57815-91ED-43cb-92C2-25804820EDAC}">
            <c15:filteredScatterSeries>
              <c15:ser>
                <c:idx val="0"/>
                <c:order val="0"/>
                <c:spPr>
                  <a:ln w="19050" cap="rnd">
                    <a:solidFill>
                      <a:schemeClr val="accent1"/>
                    </a:solidFill>
                    <a:round/>
                  </a:ln>
                  <a:effectLst/>
                </c:spPr>
                <c:marker>
                  <c:symbol val="none"/>
                </c:marker>
                <c:xVal>
                  <c:numRef>
                    <c:extLst>
                      <c:ext uri="{02D57815-91ED-43cb-92C2-25804820EDAC}">
                        <c15:formulaRef>
                          <c15:sqref>'A09'!$O$13:$O$17</c15:sqref>
                        </c15:formulaRef>
                      </c:ext>
                    </c:extLst>
                    <c:numCache>
                      <c:formatCode>0.000</c:formatCode>
                      <c:ptCount val="5"/>
                      <c:pt idx="0">
                        <c:v>1</c:v>
                      </c:pt>
                      <c:pt idx="1">
                        <c:v>0.8</c:v>
                      </c:pt>
                      <c:pt idx="2">
                        <c:v>0.6</c:v>
                      </c:pt>
                      <c:pt idx="3">
                        <c:v>0.4</c:v>
                      </c:pt>
                      <c:pt idx="4">
                        <c:v>0.2</c:v>
                      </c:pt>
                    </c:numCache>
                  </c:numRef>
                </c:xVal>
                <c:yVal>
                  <c:numRef>
                    <c:extLst>
                      <c:ext uri="{02D57815-91ED-43cb-92C2-25804820EDAC}">
                        <c15:formulaRef>
                          <c15:sqref>'A09'!$P$13:$P$17</c15:sqref>
                        </c15:formulaRef>
                      </c:ext>
                    </c:extLst>
                    <c:numCache>
                      <c:formatCode>0.000</c:formatCode>
                      <c:ptCount val="5"/>
                      <c:pt idx="0">
                        <c:v>1</c:v>
                      </c:pt>
                      <c:pt idx="1">
                        <c:v>1.06</c:v>
                      </c:pt>
                      <c:pt idx="2">
                        <c:v>1.1040000000000001</c:v>
                      </c:pt>
                      <c:pt idx="3">
                        <c:v>1.1319999999999999</c:v>
                      </c:pt>
                      <c:pt idx="4">
                        <c:v>1.1439999999999999</c:v>
                      </c:pt>
                    </c:numCache>
                  </c:numRef>
                </c:yVal>
                <c:smooth val="0"/>
                <c:extLst>
                  <c:ext xmlns:c16="http://schemas.microsoft.com/office/drawing/2014/chart" uri="{C3380CC4-5D6E-409C-BE32-E72D297353CC}">
                    <c16:uniqueId val="{00000002-21C6-4D20-BBEE-90532C1C3737}"/>
                  </c:ext>
                </c:extLst>
              </c15:ser>
            </c15:filteredScatterSeries>
            <c15:filteredScatterSeries>
              <c15:ser>
                <c:idx val="1"/>
                <c:order val="1"/>
                <c:spPr>
                  <a:ln w="19050" cap="rnd">
                    <a:solidFill>
                      <a:schemeClr val="accent2"/>
                    </a:solidFill>
                    <a:round/>
                  </a:ln>
                  <a:effectLst/>
                </c:spPr>
                <c:marker>
                  <c:symbol val="none"/>
                </c:marker>
                <c:xVal>
                  <c:numRef>
                    <c:extLst xmlns:c15="http://schemas.microsoft.com/office/drawing/2012/chart">
                      <c:ext xmlns:c15="http://schemas.microsoft.com/office/drawing/2012/chart" uri="{02D57815-91ED-43cb-92C2-25804820EDAC}">
                        <c15:formulaRef>
                          <c15:sqref>'A09'!$O$13:$O$17</c15:sqref>
                        </c15:formulaRef>
                      </c:ext>
                    </c:extLst>
                    <c:numCache>
                      <c:formatCode>0.000</c:formatCode>
                      <c:ptCount val="5"/>
                      <c:pt idx="0">
                        <c:v>1</c:v>
                      </c:pt>
                      <c:pt idx="1">
                        <c:v>0.8</c:v>
                      </c:pt>
                      <c:pt idx="2">
                        <c:v>0.6</c:v>
                      </c:pt>
                      <c:pt idx="3">
                        <c:v>0.4</c:v>
                      </c:pt>
                      <c:pt idx="4">
                        <c:v>0.2</c:v>
                      </c:pt>
                    </c:numCache>
                  </c:numRef>
                </c:xVal>
                <c:yVal>
                  <c:numRef>
                    <c:extLst xmlns:c15="http://schemas.microsoft.com/office/drawing/2012/chart">
                      <c:ext xmlns:c15="http://schemas.microsoft.com/office/drawing/2012/chart" uri="{02D57815-91ED-43cb-92C2-25804820EDAC}">
                        <c15:formulaRef>
                          <c15:sqref>'A09'!$Q$13:$Q$17</c15:sqref>
                        </c15:formulaRef>
                      </c:ext>
                    </c:extLst>
                    <c:numCache>
                      <c:formatCode>0.00</c:formatCode>
                      <c:ptCount val="5"/>
                      <c:pt idx="0">
                        <c:v>4.9400000000000004</c:v>
                      </c:pt>
                      <c:pt idx="1">
                        <c:v>5.2364000000000006</c:v>
                      </c:pt>
                      <c:pt idx="2">
                        <c:v>5.4537600000000008</c:v>
                      </c:pt>
                      <c:pt idx="3">
                        <c:v>5.5920800000000002</c:v>
                      </c:pt>
                      <c:pt idx="4">
                        <c:v>5.6513600000000004</c:v>
                      </c:pt>
                    </c:numCache>
                  </c:numRef>
                </c:yVal>
                <c:smooth val="0"/>
                <c:extLst xmlns:c15="http://schemas.microsoft.com/office/drawing/2012/chart">
                  <c:ext xmlns:c16="http://schemas.microsoft.com/office/drawing/2014/chart" uri="{C3380CC4-5D6E-409C-BE32-E72D297353CC}">
                    <c16:uniqueId val="{00000003-21C6-4D20-BBEE-90532C1C3737}"/>
                  </c:ext>
                </c:extLst>
              </c15:ser>
            </c15:filteredScatterSeries>
          </c:ext>
        </c:extLst>
      </c:scatterChart>
      <c:valAx>
        <c:axId val="374089288"/>
        <c:scaling>
          <c:orientation val="minMax"/>
        </c:scaling>
        <c:delete val="0"/>
        <c:axPos val="b"/>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4089680"/>
        <c:crosses val="autoZero"/>
        <c:crossBetween val="midCat"/>
      </c:valAx>
      <c:valAx>
        <c:axId val="374089680"/>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408928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Voltage </a:t>
            </a:r>
            <a:r>
              <a:rPr lang="en-US" sz="1000"/>
              <a:t>Distortion </a:t>
            </a:r>
            <a:r>
              <a:rPr lang="en-US"/>
              <a:t>% vs Harmonic Number</a:t>
            </a:r>
          </a:p>
        </c:rich>
      </c:tx>
      <c:overlay val="0"/>
    </c:title>
    <c:autoTitleDeleted val="0"/>
    <c:plotArea>
      <c:layout>
        <c:manualLayout>
          <c:layoutTarget val="inner"/>
          <c:xMode val="edge"/>
          <c:yMode val="edge"/>
          <c:x val="7.8585706987968781E-2"/>
          <c:y val="0.1286487242373392"/>
          <c:w val="0.90396561503637551"/>
          <c:h val="0.73809883395723075"/>
        </c:manualLayout>
      </c:layout>
      <c:barChart>
        <c:barDir val="col"/>
        <c:grouping val="clustered"/>
        <c:varyColors val="0"/>
        <c:ser>
          <c:idx val="0"/>
          <c:order val="0"/>
          <c:tx>
            <c:strRef>
              <c:f>Sum!$BN$6</c:f>
              <c:strCache>
                <c:ptCount val="1"/>
                <c:pt idx="0">
                  <c:v>Vh %</c:v>
                </c:pt>
              </c:strCache>
            </c:strRef>
          </c:tx>
          <c:spPr>
            <a:solidFill>
              <a:schemeClr val="accent5">
                <a:lumMod val="75000"/>
              </a:schemeClr>
            </a:solidFill>
          </c:spPr>
          <c:invertIfNegative val="0"/>
          <c:dPt>
            <c:idx val="51"/>
            <c:invertIfNegative val="0"/>
            <c:bubble3D val="0"/>
            <c:spPr>
              <a:pattFill prst="narHorz">
                <a:fgClr>
                  <a:schemeClr val="accent5">
                    <a:lumMod val="75000"/>
                  </a:schemeClr>
                </a:fgClr>
                <a:bgClr>
                  <a:schemeClr val="bg1"/>
                </a:bgClr>
              </a:pattFill>
            </c:spPr>
            <c:extLst>
              <c:ext xmlns:c16="http://schemas.microsoft.com/office/drawing/2014/chart" uri="{C3380CC4-5D6E-409C-BE32-E72D297353CC}">
                <c16:uniqueId val="{00000001-ADFD-4A06-8C68-DB44FB3D8F75}"/>
              </c:ext>
            </c:extLst>
          </c:dPt>
          <c:cat>
            <c:strRef>
              <c:f>Sum!$BM$7:$BM$58</c:f>
              <c:strCache>
                <c:ptCount val="52"/>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pt idx="39">
                  <c:v>41</c:v>
                </c:pt>
                <c:pt idx="40">
                  <c:v>42</c:v>
                </c:pt>
                <c:pt idx="41">
                  <c:v>43</c:v>
                </c:pt>
                <c:pt idx="42">
                  <c:v>44</c:v>
                </c:pt>
                <c:pt idx="43">
                  <c:v>45</c:v>
                </c:pt>
                <c:pt idx="44">
                  <c:v>46</c:v>
                </c:pt>
                <c:pt idx="45">
                  <c:v>47</c:v>
                </c:pt>
                <c:pt idx="46">
                  <c:v>48</c:v>
                </c:pt>
                <c:pt idx="47">
                  <c:v>49</c:v>
                </c:pt>
                <c:pt idx="48">
                  <c:v>50</c:v>
                </c:pt>
                <c:pt idx="51">
                  <c:v>vTHD</c:v>
                </c:pt>
              </c:strCache>
            </c:strRef>
          </c:cat>
          <c:val>
            <c:numRef>
              <c:f>Sum!$BN$7:$BN$58</c:f>
              <c:numCache>
                <c:formatCode>0.00</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51" formatCode="0.000">
                  <c:v>0</c:v>
                </c:pt>
              </c:numCache>
            </c:numRef>
          </c:val>
          <c:extLst>
            <c:ext xmlns:c16="http://schemas.microsoft.com/office/drawing/2014/chart" uri="{C3380CC4-5D6E-409C-BE32-E72D297353CC}">
              <c16:uniqueId val="{00000002-ADFD-4A06-8C68-DB44FB3D8F75}"/>
            </c:ext>
          </c:extLst>
        </c:ser>
        <c:dLbls>
          <c:showLegendKey val="0"/>
          <c:showVal val="0"/>
          <c:showCatName val="0"/>
          <c:showSerName val="0"/>
          <c:showPercent val="0"/>
          <c:showBubbleSize val="0"/>
        </c:dLbls>
        <c:gapWidth val="150"/>
        <c:axId val="315433648"/>
        <c:axId val="315434040"/>
        <c:extLst/>
      </c:barChart>
      <c:catAx>
        <c:axId val="31543364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Harmonic Number</a:t>
                </a:r>
              </a:p>
            </c:rich>
          </c:tx>
          <c:layout>
            <c:manualLayout>
              <c:xMode val="edge"/>
              <c:yMode val="edge"/>
              <c:x val="0.84302576675444396"/>
              <c:y val="0.93248050738525701"/>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15434040"/>
        <c:crosses val="autoZero"/>
        <c:auto val="0"/>
        <c:lblAlgn val="ctr"/>
        <c:lblOffset val="100"/>
        <c:tickLblSkip val="1"/>
        <c:tickMarkSkip val="1"/>
        <c:noMultiLvlLbl val="0"/>
      </c:catAx>
      <c:valAx>
        <c:axId val="315434040"/>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a:t>
                </a:r>
              </a:p>
            </c:rich>
          </c:tx>
          <c:layout>
            <c:manualLayout>
              <c:xMode val="edge"/>
              <c:yMode val="edge"/>
              <c:x val="1.6853423523401856E-2"/>
              <c:y val="0.13824964502388021"/>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1543364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chemeClr val="bg1"/>
            </a:solidFill>
          </c:spPr>
          <c:dPt>
            <c:idx val="0"/>
            <c:bubble3D val="0"/>
            <c:spPr>
              <a:solidFill>
                <a:schemeClr val="bg1"/>
              </a:solidFill>
              <a:ln w="19050">
                <a:noFill/>
              </a:ln>
              <a:effectLst/>
            </c:spPr>
            <c:extLst>
              <c:ext xmlns:c16="http://schemas.microsoft.com/office/drawing/2014/chart" uri="{C3380CC4-5D6E-409C-BE32-E72D297353CC}">
                <c16:uniqueId val="{00000001-A3FB-4360-A23E-8399065145BF}"/>
              </c:ext>
            </c:extLst>
          </c:dPt>
          <c:val>
            <c:numRef>
              <c:f>[2]Sheet1!$A$1</c:f>
              <c:numCache>
                <c:formatCode>General</c:formatCode>
                <c:ptCount val="1"/>
                <c:pt idx="0">
                  <c:v>0</c:v>
                </c:pt>
              </c:numCache>
            </c:numRef>
          </c:val>
          <c:extLst>
            <c:ext xmlns:c16="http://schemas.microsoft.com/office/drawing/2014/chart" uri="{C3380CC4-5D6E-409C-BE32-E72D297353CC}">
              <c16:uniqueId val="{00000002-A3FB-4360-A23E-8399065145BF}"/>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bg1"/>
            </a:solidFill>
            <a:ln>
              <a:noFill/>
            </a:ln>
            <a:effectLst/>
          </c:spPr>
          <c:invertIfNegative val="0"/>
          <c:val>
            <c:numRef>
              <c:f>[2]Sheet1!$A$1</c:f>
              <c:numCache>
                <c:formatCode>General</c:formatCode>
                <c:ptCount val="1"/>
                <c:pt idx="0">
                  <c:v>0</c:v>
                </c:pt>
              </c:numCache>
            </c:numRef>
          </c:val>
          <c:extLst>
            <c:ext xmlns:c16="http://schemas.microsoft.com/office/drawing/2014/chart" uri="{C3380CC4-5D6E-409C-BE32-E72D297353CC}">
              <c16:uniqueId val="{00000000-B067-40E1-A362-16D6100BBFC6}"/>
            </c:ext>
          </c:extLst>
        </c:ser>
        <c:dLbls>
          <c:showLegendKey val="0"/>
          <c:showVal val="0"/>
          <c:showCatName val="0"/>
          <c:showSerName val="0"/>
          <c:showPercent val="0"/>
          <c:showBubbleSize val="0"/>
        </c:dLbls>
        <c:gapWidth val="219"/>
        <c:overlap val="-27"/>
        <c:axId val="373282408"/>
        <c:axId val="373282800"/>
      </c:barChart>
      <c:catAx>
        <c:axId val="373282408"/>
        <c:scaling>
          <c:orientation val="minMax"/>
        </c:scaling>
        <c:delete val="1"/>
        <c:axPos val="b"/>
        <c:majorTickMark val="none"/>
        <c:minorTickMark val="none"/>
        <c:tickLblPos val="nextTo"/>
        <c:crossAx val="373282800"/>
        <c:crosses val="autoZero"/>
        <c:auto val="1"/>
        <c:lblAlgn val="ctr"/>
        <c:lblOffset val="100"/>
        <c:noMultiLvlLbl val="0"/>
      </c:catAx>
      <c:valAx>
        <c:axId val="373282800"/>
        <c:scaling>
          <c:orientation val="minMax"/>
        </c:scaling>
        <c:delete val="1"/>
        <c:axPos val="l"/>
        <c:numFmt formatCode="General" sourceLinked="1"/>
        <c:majorTickMark val="none"/>
        <c:minorTickMark val="none"/>
        <c:tickLblPos val="nextTo"/>
        <c:crossAx val="37328240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bg1"/>
            </a:solidFill>
            <a:ln>
              <a:noFill/>
            </a:ln>
            <a:effectLst/>
          </c:spPr>
          <c:invertIfNegative val="0"/>
          <c:val>
            <c:numRef>
              <c:f>Report!$A$1</c:f>
              <c:numCache>
                <c:formatCode>General</c:formatCode>
                <c:ptCount val="1"/>
                <c:pt idx="0">
                  <c:v>0</c:v>
                </c:pt>
              </c:numCache>
            </c:numRef>
          </c:val>
          <c:extLst>
            <c:ext xmlns:c16="http://schemas.microsoft.com/office/drawing/2014/chart" uri="{C3380CC4-5D6E-409C-BE32-E72D297353CC}">
              <c16:uniqueId val="{00000000-F4FD-44FC-8313-C052750C012B}"/>
            </c:ext>
          </c:extLst>
        </c:ser>
        <c:dLbls>
          <c:showLegendKey val="0"/>
          <c:showVal val="0"/>
          <c:showCatName val="0"/>
          <c:showSerName val="0"/>
          <c:showPercent val="0"/>
          <c:showBubbleSize val="0"/>
        </c:dLbls>
        <c:gapWidth val="219"/>
        <c:overlap val="-27"/>
        <c:axId val="373283584"/>
        <c:axId val="373772120"/>
      </c:barChart>
      <c:catAx>
        <c:axId val="373283584"/>
        <c:scaling>
          <c:orientation val="minMax"/>
        </c:scaling>
        <c:delete val="1"/>
        <c:axPos val="b"/>
        <c:majorTickMark val="none"/>
        <c:minorTickMark val="none"/>
        <c:tickLblPos val="nextTo"/>
        <c:crossAx val="373772120"/>
        <c:crosses val="autoZero"/>
        <c:auto val="1"/>
        <c:lblAlgn val="ctr"/>
        <c:lblOffset val="100"/>
        <c:noMultiLvlLbl val="0"/>
      </c:catAx>
      <c:valAx>
        <c:axId val="373772120"/>
        <c:scaling>
          <c:orientation val="minMax"/>
        </c:scaling>
        <c:delete val="1"/>
        <c:axPos val="l"/>
        <c:numFmt formatCode="General" sourceLinked="1"/>
        <c:majorTickMark val="none"/>
        <c:minorTickMark val="none"/>
        <c:tickLblPos val="nextTo"/>
        <c:crossAx val="37328358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chemeClr val="bg1"/>
            </a:solidFill>
          </c:spPr>
          <c:dPt>
            <c:idx val="0"/>
            <c:bubble3D val="0"/>
            <c:spPr>
              <a:solidFill>
                <a:schemeClr val="bg1"/>
              </a:solidFill>
              <a:ln w="19050">
                <a:noFill/>
              </a:ln>
              <a:effectLst/>
            </c:spPr>
            <c:extLst>
              <c:ext xmlns:c16="http://schemas.microsoft.com/office/drawing/2014/chart" uri="{C3380CC4-5D6E-409C-BE32-E72D297353CC}">
                <c16:uniqueId val="{00000001-76B8-4D1F-B525-859FBDE9D027}"/>
              </c:ext>
            </c:extLst>
          </c:dPt>
          <c:val>
            <c:numRef>
              <c:f>Report!$A$1</c:f>
              <c:numCache>
                <c:formatCode>General</c:formatCode>
                <c:ptCount val="1"/>
                <c:pt idx="0">
                  <c:v>0</c:v>
                </c:pt>
              </c:numCache>
            </c:numRef>
          </c:val>
          <c:extLst>
            <c:ext xmlns:c16="http://schemas.microsoft.com/office/drawing/2014/chart" uri="{C3380CC4-5D6E-409C-BE32-E72D297353CC}">
              <c16:uniqueId val="{00000002-76B8-4D1F-B525-859FBDE9D027}"/>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Sum!$BK$6</c:f>
              <c:strCache>
                <c:ptCount val="1"/>
                <c:pt idx="0">
                  <c:v>Ih %</c:v>
                </c:pt>
              </c:strCache>
            </c:strRef>
          </c:tx>
          <c:spPr>
            <a:ln w="19050" cap="rnd">
              <a:solidFill>
                <a:schemeClr val="accent1"/>
              </a:solidFill>
              <a:round/>
            </a:ln>
            <a:effectLst/>
          </c:spPr>
          <c:marker>
            <c:symbol val="none"/>
          </c:marker>
          <c:xVal>
            <c:numRef>
              <c:f>Sum!$BJ$6:$BJ$55</c:f>
              <c:numCache>
                <c:formatCode>General</c:formatCode>
                <c:ptCount val="50"/>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Sum!$BK$6:$BK$55</c:f>
              <c:numCache>
                <c:formatCode>0.00</c:formatCode>
                <c:ptCount val="50"/>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yVal>
          <c:smooth val="0"/>
          <c:extLst>
            <c:ext xmlns:c16="http://schemas.microsoft.com/office/drawing/2014/chart" uri="{C3380CC4-5D6E-409C-BE32-E72D297353CC}">
              <c16:uniqueId val="{00000000-464F-46C8-9148-3202FE2ED04C}"/>
            </c:ext>
          </c:extLst>
        </c:ser>
        <c:ser>
          <c:idx val="1"/>
          <c:order val="1"/>
          <c:tx>
            <c:strRef>
              <c:f>Sum!$BN$6</c:f>
              <c:strCache>
                <c:ptCount val="1"/>
                <c:pt idx="0">
                  <c:v>Vh %</c:v>
                </c:pt>
              </c:strCache>
            </c:strRef>
          </c:tx>
          <c:spPr>
            <a:ln w="19050" cap="rnd">
              <a:solidFill>
                <a:schemeClr val="accent2"/>
              </a:solidFill>
              <a:round/>
            </a:ln>
            <a:effectLst/>
          </c:spPr>
          <c:marker>
            <c:symbol val="none"/>
          </c:marker>
          <c:xVal>
            <c:numRef>
              <c:f>Sum!$BJ$6:$BJ$55</c:f>
              <c:numCache>
                <c:formatCode>General</c:formatCode>
                <c:ptCount val="50"/>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Sum!$BN$6:$BN$55</c:f>
              <c:numCache>
                <c:formatCode>0.00</c:formatCode>
                <c:ptCount val="50"/>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yVal>
          <c:smooth val="0"/>
          <c:extLst>
            <c:ext xmlns:c16="http://schemas.microsoft.com/office/drawing/2014/chart" uri="{C3380CC4-5D6E-409C-BE32-E72D297353CC}">
              <c16:uniqueId val="{00000001-464F-46C8-9148-3202FE2ED04C}"/>
            </c:ext>
          </c:extLst>
        </c:ser>
        <c:dLbls>
          <c:showLegendKey val="0"/>
          <c:showVal val="0"/>
          <c:showCatName val="0"/>
          <c:showSerName val="0"/>
          <c:showPercent val="0"/>
          <c:showBubbleSize val="0"/>
        </c:dLbls>
        <c:axId val="373773296"/>
        <c:axId val="373773688"/>
      </c:scatterChart>
      <c:valAx>
        <c:axId val="373773296"/>
        <c:scaling>
          <c:orientation val="minMax"/>
          <c:max val="5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3773688"/>
        <c:crosses val="autoZero"/>
        <c:crossBetween val="midCat"/>
        <c:majorUnit val="5"/>
      </c:valAx>
      <c:valAx>
        <c:axId val="37377368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377329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Pec-r vs kVA</a:t>
            </a:r>
          </a:p>
        </c:rich>
      </c:tx>
      <c:layout>
        <c:manualLayout>
          <c:xMode val="edge"/>
          <c:yMode val="edge"/>
          <c:x val="0.39739414446921217"/>
          <c:y val="2.9968396807541913E-2"/>
        </c:manualLayout>
      </c:layout>
      <c:overlay val="0"/>
      <c:spPr>
        <a:noFill/>
        <a:ln w="25400">
          <a:noFill/>
        </a:ln>
      </c:spPr>
    </c:title>
    <c:autoTitleDeleted val="0"/>
    <c:plotArea>
      <c:layout>
        <c:manualLayout>
          <c:layoutTarget val="inner"/>
          <c:xMode val="edge"/>
          <c:yMode val="edge"/>
          <c:x val="0.13843648208469059"/>
          <c:y val="8.8328245776917433E-2"/>
          <c:w val="0.81433224755700329"/>
          <c:h val="0.78391318127014209"/>
        </c:manualLayout>
      </c:layout>
      <c:scatterChart>
        <c:scatterStyle val="lineMarker"/>
        <c:varyColors val="0"/>
        <c:ser>
          <c:idx val="0"/>
          <c:order val="0"/>
          <c:spPr>
            <a:ln w="25400">
              <a:solidFill>
                <a:srgbClr val="FF0000"/>
              </a:solidFill>
              <a:prstDash val="solid"/>
            </a:ln>
          </c:spPr>
          <c:marker>
            <c:symbol val="circle"/>
            <c:size val="7"/>
            <c:spPr>
              <a:solidFill>
                <a:srgbClr val="FF0000"/>
              </a:solidFill>
              <a:ln>
                <a:solidFill>
                  <a:srgbClr val="FF0000"/>
                </a:solidFill>
                <a:prstDash val="solid"/>
              </a:ln>
            </c:spPr>
          </c:marker>
          <c:trendline>
            <c:spPr>
              <a:ln w="25400">
                <a:solidFill>
                  <a:srgbClr val="000000"/>
                </a:solidFill>
                <a:prstDash val="solid"/>
              </a:ln>
            </c:spPr>
            <c:trendlineType val="exp"/>
            <c:forward val="1500"/>
            <c:dispRSqr val="0"/>
            <c:dispEq val="1"/>
            <c:trendlineLbl>
              <c:layout>
                <c:manualLayout>
                  <c:x val="2.396851248642776E-2"/>
                  <c:y val="-0.10655874848123485"/>
                </c:manualLayout>
              </c:layout>
              <c:numFmt formatCode="General" sourceLinked="0"/>
              <c:spPr>
                <a:noFill/>
                <a:ln w="25400">
                  <a:noFill/>
                </a:ln>
              </c:spPr>
              <c:txPr>
                <a:bodyPr/>
                <a:lstStyle/>
                <a:p>
                  <a:pPr>
                    <a:defRPr sz="1050" b="0" i="0" u="none" strike="noStrike" baseline="0">
                      <a:solidFill>
                        <a:srgbClr val="000000"/>
                      </a:solidFill>
                      <a:latin typeface="Arial"/>
                      <a:ea typeface="Arial"/>
                      <a:cs typeface="Arial"/>
                    </a:defRPr>
                  </a:pPr>
                  <a:endParaRPr lang="en-US"/>
                </a:p>
              </c:txPr>
            </c:trendlineLbl>
          </c:trendline>
          <c:xVal>
            <c:numRef>
              <c:f>Thermal!$H$4:$J$4</c:f>
              <c:numCache>
                <c:formatCode>General</c:formatCode>
                <c:ptCount val="3"/>
                <c:pt idx="0">
                  <c:v>0</c:v>
                </c:pt>
                <c:pt idx="1">
                  <c:v>1000</c:v>
                </c:pt>
                <c:pt idx="2">
                  <c:v>1500</c:v>
                </c:pt>
              </c:numCache>
            </c:numRef>
          </c:xVal>
          <c:yVal>
            <c:numRef>
              <c:f>Thermal!$H$5:$J$5</c:f>
              <c:numCache>
                <c:formatCode>General</c:formatCode>
                <c:ptCount val="3"/>
                <c:pt idx="0">
                  <c:v>0.08</c:v>
                </c:pt>
                <c:pt idx="1">
                  <c:v>0.12</c:v>
                </c:pt>
                <c:pt idx="2">
                  <c:v>0.15</c:v>
                </c:pt>
              </c:numCache>
            </c:numRef>
          </c:yVal>
          <c:smooth val="0"/>
          <c:extLst>
            <c:ext xmlns:c16="http://schemas.microsoft.com/office/drawing/2014/chart" uri="{C3380CC4-5D6E-409C-BE32-E72D297353CC}">
              <c16:uniqueId val="{00000001-F5B1-41E3-A30F-CDC07B6F9753}"/>
            </c:ext>
          </c:extLst>
        </c:ser>
        <c:dLbls>
          <c:showLegendKey val="0"/>
          <c:showVal val="0"/>
          <c:showCatName val="0"/>
          <c:showSerName val="0"/>
          <c:showPercent val="0"/>
          <c:showBubbleSize val="0"/>
        </c:dLbls>
        <c:axId val="373774472"/>
        <c:axId val="373774864"/>
      </c:scatterChart>
      <c:valAx>
        <c:axId val="373774472"/>
        <c:scaling>
          <c:orientation val="minMax"/>
          <c:max val="3000"/>
        </c:scaling>
        <c:delete val="0"/>
        <c:axPos val="b"/>
        <c:majorGridlines>
          <c:spPr>
            <a:ln w="3175">
              <a:solidFill>
                <a:srgbClr val="000000"/>
              </a:solidFill>
              <a:prstDash val="solid"/>
            </a:ln>
          </c:spPr>
        </c:majorGridlines>
        <c:title>
          <c:tx>
            <c:rich>
              <a:bodyPr/>
              <a:lstStyle/>
              <a:p>
                <a:pPr>
                  <a:defRPr sz="1050" b="1" i="0" u="none" strike="noStrike" baseline="0">
                    <a:solidFill>
                      <a:srgbClr val="000000"/>
                    </a:solidFill>
                    <a:latin typeface="Arial"/>
                    <a:ea typeface="Arial"/>
                    <a:cs typeface="Arial"/>
                  </a:defRPr>
                </a:pPr>
                <a:r>
                  <a:rPr lang="en-US"/>
                  <a:t>kVA</a:t>
                </a:r>
              </a:p>
            </c:rich>
          </c:tx>
          <c:layout>
            <c:manualLayout>
              <c:xMode val="edge"/>
              <c:yMode val="edge"/>
              <c:x val="0.51140069813065625"/>
              <c:y val="0.9400649204563715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373774864"/>
        <c:crosses val="autoZero"/>
        <c:crossBetween val="midCat"/>
      </c:valAx>
      <c:valAx>
        <c:axId val="373774864"/>
        <c:scaling>
          <c:orientation val="minMax"/>
        </c:scaling>
        <c:delete val="0"/>
        <c:axPos val="l"/>
        <c:majorGridlines>
          <c:spPr>
            <a:ln w="3175">
              <a:solidFill>
                <a:srgbClr val="000000"/>
              </a:solidFill>
              <a:prstDash val="solid"/>
            </a:ln>
          </c:spPr>
        </c:majorGridlines>
        <c:title>
          <c:tx>
            <c:rich>
              <a:bodyPr/>
              <a:lstStyle/>
              <a:p>
                <a:pPr>
                  <a:defRPr sz="1050" b="1" i="0" u="none" strike="noStrike" baseline="0">
                    <a:solidFill>
                      <a:srgbClr val="000000"/>
                    </a:solidFill>
                    <a:latin typeface="Arial"/>
                    <a:ea typeface="Arial"/>
                    <a:cs typeface="Arial"/>
                  </a:defRPr>
                </a:pPr>
                <a:r>
                  <a:rPr lang="en-US"/>
                  <a:t>Pec-r</a:t>
                </a:r>
              </a:p>
            </c:rich>
          </c:tx>
          <c:layout>
            <c:manualLayout>
              <c:xMode val="edge"/>
              <c:yMode val="edge"/>
              <c:x val="1.14005912193766E-2"/>
              <c:y val="0.43848668916385447"/>
            </c:manualLayout>
          </c:layout>
          <c:overlay val="0"/>
          <c:spPr>
            <a:noFill/>
            <a:ln w="25400">
              <a:noFill/>
            </a:ln>
          </c:spPr>
        </c:title>
        <c:numFmt formatCode="General" sourceLinked="1"/>
        <c:majorTickMark val="out"/>
        <c:minorTickMark val="out"/>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373774472"/>
        <c:crosses val="autoZero"/>
        <c:crossBetween val="midCat"/>
        <c:majorUnit val="0.02"/>
        <c:minorUnit val="5.0000000000000001E-3"/>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solidFill>
                <a:schemeClr val="accent1"/>
              </a:solidFill>
              <a:round/>
            </a:ln>
            <a:effectLst/>
          </c:spPr>
          <c:marker>
            <c:symbol val="none"/>
          </c:marker>
          <c:trendline>
            <c:spPr>
              <a:ln w="19050" cap="rnd">
                <a:solidFill>
                  <a:schemeClr val="accent1"/>
                </a:solidFill>
                <a:prstDash val="sysDot"/>
              </a:ln>
              <a:effectLst/>
            </c:spPr>
            <c:trendlineType val="poly"/>
            <c:order val="2"/>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'A08'!$O$13:$O$17</c:f>
              <c:numCache>
                <c:formatCode>0.000</c:formatCode>
                <c:ptCount val="5"/>
                <c:pt idx="0">
                  <c:v>1</c:v>
                </c:pt>
                <c:pt idx="1">
                  <c:v>0.8</c:v>
                </c:pt>
                <c:pt idx="2">
                  <c:v>0.6</c:v>
                </c:pt>
                <c:pt idx="3">
                  <c:v>0.4</c:v>
                </c:pt>
                <c:pt idx="4">
                  <c:v>0.2</c:v>
                </c:pt>
              </c:numCache>
            </c:numRef>
          </c:xVal>
          <c:yVal>
            <c:numRef>
              <c:f>'A08'!$P$13:$P$17</c:f>
              <c:numCache>
                <c:formatCode>0.000</c:formatCode>
                <c:ptCount val="5"/>
                <c:pt idx="0">
                  <c:v>1</c:v>
                </c:pt>
                <c:pt idx="1">
                  <c:v>1.06</c:v>
                </c:pt>
                <c:pt idx="2">
                  <c:v>1.1040000000000001</c:v>
                </c:pt>
                <c:pt idx="3">
                  <c:v>1.1319999999999999</c:v>
                </c:pt>
                <c:pt idx="4">
                  <c:v>1.1439999999999999</c:v>
                </c:pt>
              </c:numCache>
            </c:numRef>
          </c:yVal>
          <c:smooth val="0"/>
          <c:extLst>
            <c:ext xmlns:c16="http://schemas.microsoft.com/office/drawing/2014/chart" uri="{C3380CC4-5D6E-409C-BE32-E72D297353CC}">
              <c16:uniqueId val="{00000001-B078-4F04-9C1A-4C4EAF4963FE}"/>
            </c:ext>
          </c:extLst>
        </c:ser>
        <c:dLbls>
          <c:showLegendKey val="0"/>
          <c:showVal val="0"/>
          <c:showCatName val="0"/>
          <c:showSerName val="0"/>
          <c:showPercent val="0"/>
          <c:showBubbleSize val="0"/>
        </c:dLbls>
        <c:axId val="373775648"/>
        <c:axId val="374086152"/>
      </c:scatterChart>
      <c:valAx>
        <c:axId val="373775648"/>
        <c:scaling>
          <c:orientation val="minMax"/>
        </c:scaling>
        <c:delete val="0"/>
        <c:axPos val="b"/>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4086152"/>
        <c:crosses val="autoZero"/>
        <c:crossBetween val="midCat"/>
      </c:valAx>
      <c:valAx>
        <c:axId val="374086152"/>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377564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8.pn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9.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14</xdr:row>
          <xdr:rowOff>0</xdr:rowOff>
        </xdr:from>
        <xdr:to>
          <xdr:col>9</xdr:col>
          <xdr:colOff>381000</xdr:colOff>
          <xdr:row>26</xdr:row>
          <xdr:rowOff>182880</xdr:rowOff>
        </xdr:to>
        <xdr:sp macro="" textlink="">
          <xdr:nvSpPr>
            <xdr:cNvPr id="1029" name="Object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52</xdr:row>
          <xdr:rowOff>0</xdr:rowOff>
        </xdr:from>
        <xdr:to>
          <xdr:col>6</xdr:col>
          <xdr:colOff>388620</xdr:colOff>
          <xdr:row>64</xdr:row>
          <xdr:rowOff>182880</xdr:rowOff>
        </xdr:to>
        <xdr:sp macro="" textlink="">
          <xdr:nvSpPr>
            <xdr:cNvPr id="1030" name="Object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321469</xdr:colOff>
      <xdr:row>294</xdr:row>
      <xdr:rowOff>95250</xdr:rowOff>
    </xdr:from>
    <xdr:to>
      <xdr:col>6</xdr:col>
      <xdr:colOff>606636</xdr:colOff>
      <xdr:row>321</xdr:row>
      <xdr:rowOff>123179</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654844" y="50494406"/>
          <a:ext cx="4666667" cy="5171429"/>
        </a:xfrm>
        <a:prstGeom prst="rect">
          <a:avLst/>
        </a:prstGeom>
      </xdr:spPr>
    </xdr:pic>
    <xdr:clientData/>
  </xdr:twoCellAnchor>
  <xdr:twoCellAnchor editAs="oneCell">
    <xdr:from>
      <xdr:col>2</xdr:col>
      <xdr:colOff>10584</xdr:colOff>
      <xdr:row>91</xdr:row>
      <xdr:rowOff>21167</xdr:rowOff>
    </xdr:from>
    <xdr:to>
      <xdr:col>11</xdr:col>
      <xdr:colOff>40381</xdr:colOff>
      <xdr:row>100</xdr:row>
      <xdr:rowOff>125715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687917" y="17790584"/>
          <a:ext cx="7152381" cy="1819048"/>
        </a:xfrm>
        <a:prstGeom prst="rect">
          <a:avLst/>
        </a:prstGeom>
      </xdr:spPr>
    </xdr:pic>
    <xdr:clientData/>
  </xdr:twoCellAnchor>
  <xdr:twoCellAnchor editAs="oneCell">
    <xdr:from>
      <xdr:col>2</xdr:col>
      <xdr:colOff>10584</xdr:colOff>
      <xdr:row>103</xdr:row>
      <xdr:rowOff>21167</xdr:rowOff>
    </xdr:from>
    <xdr:to>
      <xdr:col>11</xdr:col>
      <xdr:colOff>21333</xdr:colOff>
      <xdr:row>112</xdr:row>
      <xdr:rowOff>144762</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stretch>
          <a:fillRect/>
        </a:stretch>
      </xdr:blipFill>
      <xdr:spPr>
        <a:xfrm>
          <a:off x="687917" y="19695584"/>
          <a:ext cx="7133333" cy="1838095"/>
        </a:xfrm>
        <a:prstGeom prst="rect">
          <a:avLst/>
        </a:prstGeom>
      </xdr:spPr>
    </xdr:pic>
    <xdr:clientData/>
  </xdr:twoCellAnchor>
  <xdr:twoCellAnchor editAs="oneCell">
    <xdr:from>
      <xdr:col>2</xdr:col>
      <xdr:colOff>0</xdr:colOff>
      <xdr:row>243</xdr:row>
      <xdr:rowOff>0</xdr:rowOff>
    </xdr:from>
    <xdr:to>
      <xdr:col>8</xdr:col>
      <xdr:colOff>518916</xdr:colOff>
      <xdr:row>259</xdr:row>
      <xdr:rowOff>132952</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
        <a:stretch>
          <a:fillRect/>
        </a:stretch>
      </xdr:blipFill>
      <xdr:spPr>
        <a:xfrm>
          <a:off x="677333" y="48111833"/>
          <a:ext cx="5800000" cy="3180952"/>
        </a:xfrm>
        <a:prstGeom prst="rect">
          <a:avLst/>
        </a:prstGeom>
      </xdr:spPr>
    </xdr:pic>
    <xdr:clientData/>
  </xdr:twoCellAnchor>
  <xdr:twoCellAnchor editAs="oneCell">
    <xdr:from>
      <xdr:col>2</xdr:col>
      <xdr:colOff>0</xdr:colOff>
      <xdr:row>124</xdr:row>
      <xdr:rowOff>0</xdr:rowOff>
    </xdr:from>
    <xdr:to>
      <xdr:col>11</xdr:col>
      <xdr:colOff>29797</xdr:colOff>
      <xdr:row>133</xdr:row>
      <xdr:rowOff>123595</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stretch>
          <a:fillRect/>
        </a:stretch>
      </xdr:blipFill>
      <xdr:spPr>
        <a:xfrm>
          <a:off x="677333" y="24246417"/>
          <a:ext cx="7152381" cy="183809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0</xdr:colOff>
      <xdr:row>17</xdr:row>
      <xdr:rowOff>147637</xdr:rowOff>
    </xdr:from>
    <xdr:to>
      <xdr:col>21</xdr:col>
      <xdr:colOff>304800</xdr:colOff>
      <xdr:row>34</xdr:row>
      <xdr:rowOff>138112</xdr:rowOff>
    </xdr:to>
    <xdr:graphicFrame macro="">
      <xdr:nvGraphicFramePr>
        <xdr:cNvPr id="4" name="Chart 3">
          <a:extLst>
            <a:ext uri="{FF2B5EF4-FFF2-40B4-BE49-F238E27FC236}">
              <a16:creationId xmlns:a16="http://schemas.microsoft.com/office/drawing/2014/main"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19050</xdr:colOff>
      <xdr:row>36</xdr:row>
      <xdr:rowOff>23812</xdr:rowOff>
    </xdr:from>
    <xdr:to>
      <xdr:col>21</xdr:col>
      <xdr:colOff>323850</xdr:colOff>
      <xdr:row>53</xdr:row>
      <xdr:rowOff>14287</xdr:rowOff>
    </xdr:to>
    <xdr:graphicFrame macro="">
      <xdr:nvGraphicFramePr>
        <xdr:cNvPr id="5" name="Chart 4">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85725</xdr:colOff>
      <xdr:row>1</xdr:row>
      <xdr:rowOff>48085</xdr:rowOff>
    </xdr:from>
    <xdr:to>
      <xdr:col>3</xdr:col>
      <xdr:colOff>552450</xdr:colOff>
      <xdr:row>1</xdr:row>
      <xdr:rowOff>703796</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323850" y="171910"/>
          <a:ext cx="1619250" cy="6633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17</xdr:col>
      <xdr:colOff>85725</xdr:colOff>
      <xdr:row>1</xdr:row>
      <xdr:rowOff>48085</xdr:rowOff>
    </xdr:from>
    <xdr:ext cx="1619250" cy="685340"/>
    <xdr:pic>
      <xdr:nvPicPr>
        <xdr:cNvPr id="14" name="Picture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
        <a:stretch>
          <a:fillRect/>
        </a:stretch>
      </xdr:blipFill>
      <xdr:spPr>
        <a:xfrm>
          <a:off x="10677525" y="248110"/>
          <a:ext cx="1619250" cy="685340"/>
        </a:xfrm>
        <a:prstGeom prst="rect">
          <a:avLst/>
        </a:prstGeom>
      </xdr:spPr>
    </xdr:pic>
    <xdr:clientData/>
  </xdr:oneCellAnchor>
  <xdr:twoCellAnchor editAs="oneCell">
    <xdr:from>
      <xdr:col>27</xdr:col>
      <xdr:colOff>85725</xdr:colOff>
      <xdr:row>1</xdr:row>
      <xdr:rowOff>48085</xdr:rowOff>
    </xdr:from>
    <xdr:to>
      <xdr:col>29</xdr:col>
      <xdr:colOff>552450</xdr:colOff>
      <xdr:row>1</xdr:row>
      <xdr:rowOff>711416</xdr:rowOff>
    </xdr:to>
    <xdr:pic>
      <xdr:nvPicPr>
        <xdr:cNvPr id="15" name="Picture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
        <a:stretch>
          <a:fillRect/>
        </a:stretch>
      </xdr:blipFill>
      <xdr:spPr>
        <a:xfrm>
          <a:off x="323850" y="219535"/>
          <a:ext cx="1619250" cy="663331"/>
        </a:xfrm>
        <a:prstGeom prst="rect">
          <a:avLst/>
        </a:prstGeom>
      </xdr:spPr>
    </xdr:pic>
    <xdr:clientData/>
  </xdr:twoCellAnchor>
  <xdr:twoCellAnchor>
    <xdr:from>
      <xdr:col>27</xdr:col>
      <xdr:colOff>85725</xdr:colOff>
      <xdr:row>13</xdr:row>
      <xdr:rowOff>76200</xdr:rowOff>
    </xdr:from>
    <xdr:to>
      <xdr:col>35</xdr:col>
      <xdr:colOff>752475</xdr:colOff>
      <xdr:row>35</xdr:row>
      <xdr:rowOff>19050</xdr:rowOff>
    </xdr:to>
    <xdr:graphicFrame macro="">
      <xdr:nvGraphicFramePr>
        <xdr:cNvPr id="22" name="Chart 2">
          <a:extLst>
            <a:ext uri="{FF2B5EF4-FFF2-40B4-BE49-F238E27FC236}">
              <a16:creationId xmlns:a16="http://schemas.microsoft.com/office/drawing/2014/main" id="{00000000-0008-0000-02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104775</xdr:colOff>
      <xdr:row>36</xdr:row>
      <xdr:rowOff>85725</xdr:rowOff>
    </xdr:from>
    <xdr:to>
      <xdr:col>35</xdr:col>
      <xdr:colOff>771525</xdr:colOff>
      <xdr:row>58</xdr:row>
      <xdr:rowOff>161925</xdr:rowOff>
    </xdr:to>
    <xdr:graphicFrame macro="">
      <xdr:nvGraphicFramePr>
        <xdr:cNvPr id="24" name="Chart 2">
          <a:extLst>
            <a:ext uri="{FF2B5EF4-FFF2-40B4-BE49-F238E27FC236}">
              <a16:creationId xmlns:a16="http://schemas.microsoft.com/office/drawing/2014/main" id="{00000000-0008-0000-02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37</xdr:col>
      <xdr:colOff>85725</xdr:colOff>
      <xdr:row>1</xdr:row>
      <xdr:rowOff>48085</xdr:rowOff>
    </xdr:from>
    <xdr:to>
      <xdr:col>39</xdr:col>
      <xdr:colOff>552450</xdr:colOff>
      <xdr:row>1</xdr:row>
      <xdr:rowOff>711416</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323850" y="219535"/>
          <a:ext cx="1619250" cy="663331"/>
        </a:xfrm>
        <a:prstGeom prst="rect">
          <a:avLst/>
        </a:prstGeom>
      </xdr:spPr>
    </xdr:pic>
    <xdr:clientData/>
  </xdr:twoCellAnchor>
  <xdr:twoCellAnchor>
    <xdr:from>
      <xdr:col>9</xdr:col>
      <xdr:colOff>289560</xdr:colOff>
      <xdr:row>15</xdr:row>
      <xdr:rowOff>99060</xdr:rowOff>
    </xdr:from>
    <xdr:to>
      <xdr:col>10</xdr:col>
      <xdr:colOff>594360</xdr:colOff>
      <xdr:row>20</xdr:row>
      <xdr:rowOff>76200</xdr:rowOff>
    </xdr:to>
    <xdr:sp macro="" textlink="">
      <xdr:nvSpPr>
        <xdr:cNvPr id="11" name="Oval 10">
          <a:extLst>
            <a:ext uri="{FF2B5EF4-FFF2-40B4-BE49-F238E27FC236}">
              <a16:creationId xmlns:a16="http://schemas.microsoft.com/office/drawing/2014/main" id="{00000000-0008-0000-0200-00000B000000}"/>
            </a:ext>
          </a:extLst>
        </xdr:cNvPr>
        <xdr:cNvSpPr/>
      </xdr:nvSpPr>
      <xdr:spPr>
        <a:xfrm>
          <a:off x="5692140" y="3619500"/>
          <a:ext cx="914400" cy="9144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220980</xdr:colOff>
      <xdr:row>15</xdr:row>
      <xdr:rowOff>99060</xdr:rowOff>
    </xdr:from>
    <xdr:to>
      <xdr:col>9</xdr:col>
      <xdr:colOff>525780</xdr:colOff>
      <xdr:row>20</xdr:row>
      <xdr:rowOff>76200</xdr:rowOff>
    </xdr:to>
    <xdr:grpSp>
      <xdr:nvGrpSpPr>
        <xdr:cNvPr id="12" name="Group 11">
          <a:extLst>
            <a:ext uri="{FF2B5EF4-FFF2-40B4-BE49-F238E27FC236}">
              <a16:creationId xmlns:a16="http://schemas.microsoft.com/office/drawing/2014/main" id="{00000000-0008-0000-0200-00000C000000}"/>
            </a:ext>
          </a:extLst>
        </xdr:cNvPr>
        <xdr:cNvGrpSpPr/>
      </xdr:nvGrpSpPr>
      <xdr:grpSpPr>
        <a:xfrm>
          <a:off x="4819650" y="3657600"/>
          <a:ext cx="914400" cy="914400"/>
          <a:chOff x="3878580" y="2415540"/>
          <a:chExt cx="914400" cy="914400"/>
        </a:xfrm>
      </xdr:grpSpPr>
      <xdr:sp macro="" textlink="">
        <xdr:nvSpPr>
          <xdr:cNvPr id="13" name="Oval 12">
            <a:extLst>
              <a:ext uri="{FF2B5EF4-FFF2-40B4-BE49-F238E27FC236}">
                <a16:creationId xmlns:a16="http://schemas.microsoft.com/office/drawing/2014/main" id="{00000000-0008-0000-0200-00000D000000}"/>
              </a:ext>
            </a:extLst>
          </xdr:cNvPr>
          <xdr:cNvSpPr/>
        </xdr:nvSpPr>
        <xdr:spPr>
          <a:xfrm>
            <a:off x="3878580" y="2415540"/>
            <a:ext cx="914400" cy="914400"/>
          </a:xfrm>
          <a:prstGeom prst="ellipse">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sp macro="" textlink="">
        <xdr:nvSpPr>
          <xdr:cNvPr id="16" name="Isosceles Triangle 15">
            <a:extLst>
              <a:ext uri="{FF2B5EF4-FFF2-40B4-BE49-F238E27FC236}">
                <a16:creationId xmlns:a16="http://schemas.microsoft.com/office/drawing/2014/main" id="{00000000-0008-0000-0200-000010000000}"/>
              </a:ext>
            </a:extLst>
          </xdr:cNvPr>
          <xdr:cNvSpPr/>
        </xdr:nvSpPr>
        <xdr:spPr>
          <a:xfrm>
            <a:off x="4130040" y="2689860"/>
            <a:ext cx="411480" cy="365760"/>
          </a:xfrm>
          <a:prstGeom prst="triangle">
            <a:avLst/>
          </a:prstGeom>
          <a:ln w="1905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grpSp>
    <xdr:clientData/>
  </xdr:twoCellAnchor>
  <xdr:twoCellAnchor>
    <xdr:from>
      <xdr:col>14</xdr:col>
      <xdr:colOff>487680</xdr:colOff>
      <xdr:row>16</xdr:row>
      <xdr:rowOff>91440</xdr:rowOff>
    </xdr:from>
    <xdr:to>
      <xdr:col>15</xdr:col>
      <xdr:colOff>426720</xdr:colOff>
      <xdr:row>19</xdr:row>
      <xdr:rowOff>83820</xdr:rowOff>
    </xdr:to>
    <xdr:sp macro="" textlink="">
      <xdr:nvSpPr>
        <xdr:cNvPr id="17" name="Oval 16">
          <a:extLst>
            <a:ext uri="{FF2B5EF4-FFF2-40B4-BE49-F238E27FC236}">
              <a16:creationId xmlns:a16="http://schemas.microsoft.com/office/drawing/2014/main" id="{00000000-0008-0000-0200-000011000000}"/>
            </a:ext>
          </a:extLst>
        </xdr:cNvPr>
        <xdr:cNvSpPr/>
      </xdr:nvSpPr>
      <xdr:spPr>
        <a:xfrm>
          <a:off x="9006840" y="3802380"/>
          <a:ext cx="548640" cy="548640"/>
        </a:xfrm>
        <a:prstGeom prst="ellipse">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100" b="1"/>
            <a:t>M</a:t>
          </a:r>
        </a:p>
      </xdr:txBody>
    </xdr:sp>
    <xdr:clientData/>
  </xdr:twoCellAnchor>
  <xdr:twoCellAnchor>
    <xdr:from>
      <xdr:col>7</xdr:col>
      <xdr:colOff>266700</xdr:colOff>
      <xdr:row>14</xdr:row>
      <xdr:rowOff>7620</xdr:rowOff>
    </xdr:from>
    <xdr:to>
      <xdr:col>10</xdr:col>
      <xdr:colOff>121920</xdr:colOff>
      <xdr:row>21</xdr:row>
      <xdr:rowOff>99060</xdr:rowOff>
    </xdr:to>
    <xdr:graphicFrame macro="">
      <xdr:nvGraphicFramePr>
        <xdr:cNvPr id="18" name="Chart 17">
          <a:extLst>
            <a:ext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327660</xdr:colOff>
      <xdr:row>18</xdr:row>
      <xdr:rowOff>60960</xdr:rowOff>
    </xdr:from>
    <xdr:to>
      <xdr:col>11</xdr:col>
      <xdr:colOff>327660</xdr:colOff>
      <xdr:row>22</xdr:row>
      <xdr:rowOff>91440</xdr:rowOff>
    </xdr:to>
    <xdr:cxnSp macro="">
      <xdr:nvCxnSpPr>
        <xdr:cNvPr id="27" name="Straight Arrow Connector 26">
          <a:extLst>
            <a:ext uri="{FF2B5EF4-FFF2-40B4-BE49-F238E27FC236}">
              <a16:creationId xmlns:a16="http://schemas.microsoft.com/office/drawing/2014/main" id="{00000000-0008-0000-0200-00001B000000}"/>
            </a:ext>
          </a:extLst>
        </xdr:cNvPr>
        <xdr:cNvCxnSpPr/>
      </xdr:nvCxnSpPr>
      <xdr:spPr>
        <a:xfrm flipH="1" flipV="1">
          <a:off x="6941820" y="4145280"/>
          <a:ext cx="0" cy="784860"/>
        </a:xfrm>
        <a:prstGeom prst="straightConnector1">
          <a:avLst/>
        </a:prstGeom>
        <a:ln>
          <a:tailEnd type="triangle" w="lg" len="lg"/>
        </a:ln>
      </xdr:spPr>
      <xdr:style>
        <a:lnRef idx="3">
          <a:schemeClr val="dk1"/>
        </a:lnRef>
        <a:fillRef idx="0">
          <a:schemeClr val="dk1"/>
        </a:fillRef>
        <a:effectRef idx="2">
          <a:schemeClr val="dk1"/>
        </a:effectRef>
        <a:fontRef idx="minor">
          <a:schemeClr val="tx1"/>
        </a:fontRef>
      </xdr:style>
    </xdr:cxnSp>
    <xdr:clientData/>
  </xdr:twoCellAnchor>
  <xdr:twoCellAnchor>
    <xdr:from>
      <xdr:col>8</xdr:col>
      <xdr:colOff>0</xdr:colOff>
      <xdr:row>18</xdr:row>
      <xdr:rowOff>60960</xdr:rowOff>
    </xdr:from>
    <xdr:to>
      <xdr:col>8</xdr:col>
      <xdr:colOff>0</xdr:colOff>
      <xdr:row>22</xdr:row>
      <xdr:rowOff>91440</xdr:rowOff>
    </xdr:to>
    <xdr:cxnSp macro="">
      <xdr:nvCxnSpPr>
        <xdr:cNvPr id="28" name="Straight Arrow Connector 27">
          <a:extLst>
            <a:ext uri="{FF2B5EF4-FFF2-40B4-BE49-F238E27FC236}">
              <a16:creationId xmlns:a16="http://schemas.microsoft.com/office/drawing/2014/main" id="{00000000-0008-0000-0200-00001C000000}"/>
            </a:ext>
          </a:extLst>
        </xdr:cNvPr>
        <xdr:cNvCxnSpPr/>
      </xdr:nvCxnSpPr>
      <xdr:spPr>
        <a:xfrm flipH="1" flipV="1">
          <a:off x="4792980" y="4145280"/>
          <a:ext cx="0" cy="784860"/>
        </a:xfrm>
        <a:prstGeom prst="straightConnector1">
          <a:avLst/>
        </a:prstGeom>
        <a:ln>
          <a:tailEnd type="triangle" w="lg" len="lg"/>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434340</xdr:colOff>
      <xdr:row>15</xdr:row>
      <xdr:rowOff>76200</xdr:rowOff>
    </xdr:from>
    <xdr:to>
      <xdr:col>9</xdr:col>
      <xdr:colOff>15240</xdr:colOff>
      <xdr:row>23</xdr:row>
      <xdr:rowOff>68580</xdr:rowOff>
    </xdr:to>
    <xdr:graphicFrame macro="">
      <xdr:nvGraphicFramePr>
        <xdr:cNvPr id="29" name="Chart 28">
          <a:extLst>
            <a:ext uri="{FF2B5EF4-FFF2-40B4-BE49-F238E27FC236}">
              <a16:creationId xmlns:a16="http://schemas.microsoft.com/office/drawing/2014/main" id="{00000000-0008-0000-02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68580</xdr:colOff>
      <xdr:row>1</xdr:row>
      <xdr:rowOff>45720</xdr:rowOff>
    </xdr:from>
    <xdr:to>
      <xdr:col>3</xdr:col>
      <xdr:colOff>505914</xdr:colOff>
      <xdr:row>1</xdr:row>
      <xdr:rowOff>731060</xdr:rowOff>
    </xdr:to>
    <xdr:pic>
      <xdr:nvPicPr>
        <xdr:cNvPr id="30" name="Picture 2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1"/>
        <a:stretch>
          <a:fillRect/>
        </a:stretch>
      </xdr:blipFill>
      <xdr:spPr>
        <a:xfrm>
          <a:off x="678180" y="236220"/>
          <a:ext cx="1656534" cy="685340"/>
        </a:xfrm>
        <a:prstGeom prst="rect">
          <a:avLst/>
        </a:prstGeom>
      </xdr:spPr>
    </xdr:pic>
    <xdr:clientData/>
  </xdr:twoCellAnchor>
  <xdr:twoCellAnchor>
    <xdr:from>
      <xdr:col>6</xdr:col>
      <xdr:colOff>631371</xdr:colOff>
      <xdr:row>16</xdr:row>
      <xdr:rowOff>16331</xdr:rowOff>
    </xdr:from>
    <xdr:to>
      <xdr:col>8</xdr:col>
      <xdr:colOff>468085</xdr:colOff>
      <xdr:row>24</xdr:row>
      <xdr:rowOff>141517</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52251</xdr:colOff>
      <xdr:row>13</xdr:row>
      <xdr:rowOff>185056</xdr:rowOff>
    </xdr:from>
    <xdr:to>
      <xdr:col>10</xdr:col>
      <xdr:colOff>95794</xdr:colOff>
      <xdr:row>22</xdr:row>
      <xdr:rowOff>38099</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289560</xdr:colOff>
      <xdr:row>15</xdr:row>
      <xdr:rowOff>99060</xdr:rowOff>
    </xdr:from>
    <xdr:to>
      <xdr:col>10</xdr:col>
      <xdr:colOff>594360</xdr:colOff>
      <xdr:row>20</xdr:row>
      <xdr:rowOff>76200</xdr:rowOff>
    </xdr:to>
    <xdr:grpSp>
      <xdr:nvGrpSpPr>
        <xdr:cNvPr id="19" name="Group 18">
          <a:extLst>
            <a:ext uri="{FF2B5EF4-FFF2-40B4-BE49-F238E27FC236}">
              <a16:creationId xmlns:a16="http://schemas.microsoft.com/office/drawing/2014/main" id="{00000000-0008-0000-0200-000013000000}"/>
            </a:ext>
          </a:extLst>
        </xdr:cNvPr>
        <xdr:cNvGrpSpPr/>
      </xdr:nvGrpSpPr>
      <xdr:grpSpPr>
        <a:xfrm>
          <a:off x="5495925" y="3657600"/>
          <a:ext cx="914400" cy="914400"/>
          <a:chOff x="4389120" y="1188720"/>
          <a:chExt cx="914400" cy="952500"/>
        </a:xfrm>
      </xdr:grpSpPr>
      <xdr:sp macro="" textlink="">
        <xdr:nvSpPr>
          <xdr:cNvPr id="20" name="Oval 19">
            <a:extLst>
              <a:ext uri="{FF2B5EF4-FFF2-40B4-BE49-F238E27FC236}">
                <a16:creationId xmlns:a16="http://schemas.microsoft.com/office/drawing/2014/main" id="{00000000-0008-0000-0200-000014000000}"/>
              </a:ext>
            </a:extLst>
          </xdr:cNvPr>
          <xdr:cNvSpPr/>
        </xdr:nvSpPr>
        <xdr:spPr>
          <a:xfrm>
            <a:off x="4389120" y="1188720"/>
            <a:ext cx="914400" cy="952500"/>
          </a:xfrm>
          <a:prstGeom prst="ellipse">
            <a:avLst/>
          </a:prstGeom>
          <a:noFill/>
        </xdr:spPr>
        <xdr:style>
          <a:lnRef idx="2">
            <a:schemeClr val="dk1"/>
          </a:lnRef>
          <a:fillRef idx="1">
            <a:schemeClr val="lt1"/>
          </a:fillRef>
          <a:effectRef idx="0">
            <a:schemeClr val="dk1"/>
          </a:effectRef>
          <a:fontRef idx="minor">
            <a:schemeClr val="dk1"/>
          </a:fontRef>
        </xdr:style>
        <xdr:txBody>
          <a:bodyPr vertOverflow="clip" horzOverflow="clip" vert="vert270" rtlCol="0" anchor="ctr"/>
          <a:lstStyle/>
          <a:p>
            <a:pPr algn="ctr"/>
            <a:endParaRPr lang="en-US" sz="1100">
              <a:solidFill>
                <a:schemeClr val="accent5"/>
              </a:solidFill>
            </a:endParaRPr>
          </a:p>
        </xdr:txBody>
      </xdr:sp>
      <xdr:grpSp>
        <xdr:nvGrpSpPr>
          <xdr:cNvPr id="21" name="Group 20">
            <a:extLst>
              <a:ext uri="{FF2B5EF4-FFF2-40B4-BE49-F238E27FC236}">
                <a16:creationId xmlns:a16="http://schemas.microsoft.com/office/drawing/2014/main" id="{00000000-0008-0000-0200-000015000000}"/>
              </a:ext>
            </a:extLst>
          </xdr:cNvPr>
          <xdr:cNvGrpSpPr/>
        </xdr:nvGrpSpPr>
        <xdr:grpSpPr>
          <a:xfrm>
            <a:off x="4709160" y="1463040"/>
            <a:ext cx="396240" cy="388620"/>
            <a:chOff x="518160" y="1196340"/>
            <a:chExt cx="1348740" cy="1135380"/>
          </a:xfrm>
        </xdr:grpSpPr>
        <xdr:cxnSp macro="">
          <xdr:nvCxnSpPr>
            <xdr:cNvPr id="23" name="Straight Connector 22">
              <a:extLst>
                <a:ext uri="{FF2B5EF4-FFF2-40B4-BE49-F238E27FC236}">
                  <a16:creationId xmlns:a16="http://schemas.microsoft.com/office/drawing/2014/main" id="{00000000-0008-0000-0200-000017000000}"/>
                </a:ext>
              </a:extLst>
            </xdr:cNvPr>
            <xdr:cNvCxnSpPr/>
          </xdr:nvCxnSpPr>
          <xdr:spPr>
            <a:xfrm>
              <a:off x="1196340" y="1767840"/>
              <a:ext cx="670560" cy="0"/>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25" name="Straight Connector 24">
              <a:extLst>
                <a:ext uri="{FF2B5EF4-FFF2-40B4-BE49-F238E27FC236}">
                  <a16:creationId xmlns:a16="http://schemas.microsoft.com/office/drawing/2014/main" id="{00000000-0008-0000-0200-000019000000}"/>
                </a:ext>
              </a:extLst>
            </xdr:cNvPr>
            <xdr:cNvCxnSpPr/>
          </xdr:nvCxnSpPr>
          <xdr:spPr>
            <a:xfrm flipV="1">
              <a:off x="518160" y="1760220"/>
              <a:ext cx="678180" cy="571500"/>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26" name="Straight Connector 25">
              <a:extLst>
                <a:ext uri="{FF2B5EF4-FFF2-40B4-BE49-F238E27FC236}">
                  <a16:creationId xmlns:a16="http://schemas.microsoft.com/office/drawing/2014/main" id="{00000000-0008-0000-0200-00001A000000}"/>
                </a:ext>
              </a:extLst>
            </xdr:cNvPr>
            <xdr:cNvCxnSpPr/>
          </xdr:nvCxnSpPr>
          <xdr:spPr>
            <a:xfrm>
              <a:off x="518160" y="1196340"/>
              <a:ext cx="678180" cy="571500"/>
            </a:xfrm>
            <a:prstGeom prst="line">
              <a:avLst/>
            </a:prstGeom>
            <a:ln w="28575"/>
          </xdr:spPr>
          <xdr:style>
            <a:lnRef idx="1">
              <a:schemeClr val="dk1"/>
            </a:lnRef>
            <a:fillRef idx="0">
              <a:schemeClr val="dk1"/>
            </a:fillRef>
            <a:effectRef idx="0">
              <a:schemeClr val="dk1"/>
            </a:effectRef>
            <a:fontRef idx="minor">
              <a:schemeClr val="tx1"/>
            </a:fontRef>
          </xdr:style>
        </xdr:cxn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67</xdr:col>
      <xdr:colOff>61912</xdr:colOff>
      <xdr:row>2</xdr:row>
      <xdr:rowOff>47625</xdr:rowOff>
    </xdr:from>
    <xdr:to>
      <xdr:col>74</xdr:col>
      <xdr:colOff>366712</xdr:colOff>
      <xdr:row>18</xdr:row>
      <xdr:rowOff>123825</xdr:rowOff>
    </xdr:to>
    <xdr:graphicFrame macro="">
      <xdr:nvGraphicFramePr>
        <xdr:cNvPr id="2" name="Chart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17</xdr:col>
      <xdr:colOff>0</xdr:colOff>
      <xdr:row>3</xdr:row>
      <xdr:rowOff>0</xdr:rowOff>
    </xdr:from>
    <xdr:to>
      <xdr:col>25</xdr:col>
      <xdr:colOff>314325</xdr:colOff>
      <xdr:row>22</xdr:row>
      <xdr:rowOff>0</xdr:rowOff>
    </xdr:to>
    <xdr:pic>
      <xdr:nvPicPr>
        <xdr:cNvPr id="3" name="Picture 2" descr="C:\Users\usrihoa\AppData\Local\Temp\SNAGHTML43206c.PNG">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58300" y="571500"/>
          <a:ext cx="5191125" cy="3667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22</xdr:col>
      <xdr:colOff>0</xdr:colOff>
      <xdr:row>72</xdr:row>
      <xdr:rowOff>180975</xdr:rowOff>
    </xdr:from>
    <xdr:to>
      <xdr:col>29</xdr:col>
      <xdr:colOff>101388</xdr:colOff>
      <xdr:row>80</xdr:row>
      <xdr:rowOff>118135</xdr:rowOff>
    </xdr:to>
    <xdr:sp macro="" textlink="">
      <xdr:nvSpPr>
        <xdr:cNvPr id="2" name="Text Box 120">
          <a:extLst>
            <a:ext uri="{FF2B5EF4-FFF2-40B4-BE49-F238E27FC236}">
              <a16:creationId xmlns:a16="http://schemas.microsoft.com/office/drawing/2014/main" id="{00000000-0008-0000-0700-000002000000}"/>
            </a:ext>
          </a:extLst>
        </xdr:cNvPr>
        <xdr:cNvSpPr txBox="1">
          <a:spLocks noChangeArrowheads="1"/>
        </xdr:cNvSpPr>
      </xdr:nvSpPr>
      <xdr:spPr bwMode="auto">
        <a:xfrm>
          <a:off x="2447925" y="15430500"/>
          <a:ext cx="4473363" cy="1461160"/>
        </a:xfrm>
        <a:prstGeom prst="rect">
          <a:avLst/>
        </a:prstGeom>
        <a:solidFill>
          <a:srgbClr val="FFFFFF"/>
        </a:solidFill>
        <a:ln w="38100" cmpd="dbl">
          <a:solidFill>
            <a:srgbClr val="FF0000"/>
          </a:solidFill>
          <a:miter lim="800000"/>
          <a:headEnd/>
          <a:tailEnd/>
        </a:ln>
      </xdr:spPr>
      <xdr:txBody>
        <a:bodyPr vertOverflow="clip" wrap="square" lIns="91440" tIns="45720" rIns="91440" bIns="45720" anchor="t" upright="1"/>
        <a:lstStyle/>
        <a:p>
          <a:pPr algn="l" rtl="0">
            <a:lnSpc>
              <a:spcPts val="1100"/>
            </a:lnSpc>
            <a:defRPr sz="1000"/>
          </a:pPr>
          <a:r>
            <a:rPr lang="en-US" sz="1000" b="0" i="0" strike="noStrike">
              <a:solidFill>
                <a:srgbClr val="000000"/>
              </a:solidFill>
              <a:latin typeface="Times New Roman"/>
              <a:cs typeface="Times New Roman"/>
            </a:rPr>
            <a:t> </a:t>
          </a:r>
          <a:r>
            <a:rPr lang="en-US" sz="1000" b="0" i="0" strike="noStrike">
              <a:solidFill>
                <a:srgbClr val="000000"/>
              </a:solidFill>
              <a:latin typeface="Arial"/>
              <a:cs typeface="Arial"/>
            </a:rPr>
            <a:t>   </a:t>
          </a:r>
          <a:r>
            <a:rPr lang="en-US" sz="1000" b="0" i="0" strike="noStrike">
              <a:solidFill>
                <a:srgbClr val="FF0000"/>
              </a:solidFill>
              <a:latin typeface="Arial"/>
              <a:cs typeface="Arial"/>
            </a:rPr>
            <a:t>Please note that the information shown here is typical and does not constitute any guarantee of performance or measurement.  Several outside factors can influence the harmonics measured on a power system, including other equipment within the plant and other equipment in neighboring plants.  This can include, but is not limited to, drives, varying loads and/or other factory equipment.</a:t>
          </a:r>
        </a:p>
        <a:p>
          <a:pPr algn="l" rtl="0">
            <a:lnSpc>
              <a:spcPts val="1100"/>
            </a:lnSpc>
            <a:defRPr sz="1000"/>
          </a:pPr>
          <a:r>
            <a:rPr lang="en-US" sz="1000" b="0" i="0" strike="noStrike">
              <a:solidFill>
                <a:srgbClr val="FF0000"/>
              </a:solidFill>
              <a:latin typeface="Arial"/>
              <a:cs typeface="Arial"/>
            </a:rPr>
            <a:t>    The calculated current and voltage harmonics shown in this report are for estimation purposes only.</a:t>
          </a:r>
        </a:p>
        <a:p>
          <a:pPr algn="l" rtl="0">
            <a:lnSpc>
              <a:spcPts val="1500"/>
            </a:lnSpc>
            <a:defRPr sz="1000"/>
          </a:pPr>
          <a:endParaRPr lang="en-US" sz="1000" b="0" i="0" strike="noStrike">
            <a:solidFill>
              <a:srgbClr val="FF0000"/>
            </a:solidFill>
            <a:latin typeface="Arial"/>
            <a:cs typeface="Aria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11</xdr:col>
      <xdr:colOff>28575</xdr:colOff>
      <xdr:row>1</xdr:row>
      <xdr:rowOff>28575</xdr:rowOff>
    </xdr:from>
    <xdr:to>
      <xdr:col>18</xdr:col>
      <xdr:colOff>438150</xdr:colOff>
      <xdr:row>30</xdr:row>
      <xdr:rowOff>0</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0</xdr:colOff>
      <xdr:row>94</xdr:row>
      <xdr:rowOff>0</xdr:rowOff>
    </xdr:from>
    <xdr:to>
      <xdr:col>6</xdr:col>
      <xdr:colOff>201576</xdr:colOff>
      <xdr:row>107</xdr:row>
      <xdr:rowOff>140643</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1400175" y="17887950"/>
          <a:ext cx="2828571" cy="2619048"/>
        </a:xfrm>
        <a:prstGeom prst="rect">
          <a:avLst/>
        </a:prstGeom>
      </xdr:spPr>
    </xdr:pic>
    <xdr:clientData/>
  </xdr:twoCellAnchor>
  <xdr:twoCellAnchor editAs="oneCell">
    <xdr:from>
      <xdr:col>13</xdr:col>
      <xdr:colOff>0</xdr:colOff>
      <xdr:row>94</xdr:row>
      <xdr:rowOff>0</xdr:rowOff>
    </xdr:from>
    <xdr:to>
      <xdr:col>18</xdr:col>
      <xdr:colOff>483421</xdr:colOff>
      <xdr:row>111</xdr:row>
      <xdr:rowOff>178643</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8305800" y="18078450"/>
          <a:ext cx="3590476" cy="3419048"/>
        </a:xfrm>
        <a:prstGeom prst="rect">
          <a:avLst/>
        </a:prstGeom>
      </xdr:spPr>
    </xdr:pic>
    <xdr:clientData/>
  </xdr:twoCellAnchor>
  <xdr:twoCellAnchor editAs="oneCell">
    <xdr:from>
      <xdr:col>13</xdr:col>
      <xdr:colOff>0</xdr:colOff>
      <xdr:row>113</xdr:row>
      <xdr:rowOff>0</xdr:rowOff>
    </xdr:from>
    <xdr:to>
      <xdr:col>22</xdr:col>
      <xdr:colOff>418351</xdr:colOff>
      <xdr:row>127</xdr:row>
      <xdr:rowOff>98715</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8305800" y="21697950"/>
          <a:ext cx="5990476" cy="2761905"/>
        </a:xfrm>
        <a:prstGeom prst="rect">
          <a:avLst/>
        </a:prstGeom>
      </xdr:spPr>
    </xdr:pic>
    <xdr:clientData/>
  </xdr:twoCellAnchor>
  <xdr:twoCellAnchor editAs="oneCell">
    <xdr:from>
      <xdr:col>13</xdr:col>
      <xdr:colOff>0</xdr:colOff>
      <xdr:row>128</xdr:row>
      <xdr:rowOff>0</xdr:rowOff>
    </xdr:from>
    <xdr:to>
      <xdr:col>21</xdr:col>
      <xdr:colOff>75570</xdr:colOff>
      <xdr:row>152</xdr:row>
      <xdr:rowOff>113714</xdr:rowOff>
    </xdr:to>
    <xdr:pic>
      <xdr:nvPicPr>
        <xdr:cNvPr id="5" name="Pictur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4"/>
        <a:stretch>
          <a:fillRect/>
        </a:stretch>
      </xdr:blipFill>
      <xdr:spPr>
        <a:xfrm>
          <a:off x="8305800" y="24555450"/>
          <a:ext cx="5038095" cy="4685714"/>
        </a:xfrm>
        <a:prstGeom prst="rect">
          <a:avLst/>
        </a:prstGeom>
      </xdr:spPr>
    </xdr:pic>
    <xdr:clientData/>
  </xdr:twoCellAnchor>
  <xdr:twoCellAnchor editAs="oneCell">
    <xdr:from>
      <xdr:col>13</xdr:col>
      <xdr:colOff>0</xdr:colOff>
      <xdr:row>153</xdr:row>
      <xdr:rowOff>0</xdr:rowOff>
    </xdr:from>
    <xdr:to>
      <xdr:col>22</xdr:col>
      <xdr:colOff>418351</xdr:colOff>
      <xdr:row>167</xdr:row>
      <xdr:rowOff>98715</xdr:rowOff>
    </xdr:to>
    <xdr:pic>
      <xdr:nvPicPr>
        <xdr:cNvPr id="6" name="Picture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5"/>
        <a:stretch>
          <a:fillRect/>
        </a:stretch>
      </xdr:blipFill>
      <xdr:spPr>
        <a:xfrm>
          <a:off x="8305800" y="29317950"/>
          <a:ext cx="5990476" cy="2761905"/>
        </a:xfrm>
        <a:prstGeom prst="rect">
          <a:avLst/>
        </a:prstGeom>
      </xdr:spPr>
    </xdr:pic>
    <xdr:clientData/>
  </xdr:twoCellAnchor>
  <xdr:twoCellAnchor editAs="oneCell">
    <xdr:from>
      <xdr:col>13</xdr:col>
      <xdr:colOff>0</xdr:colOff>
      <xdr:row>168</xdr:row>
      <xdr:rowOff>0</xdr:rowOff>
    </xdr:from>
    <xdr:to>
      <xdr:col>27</xdr:col>
      <xdr:colOff>391301</xdr:colOff>
      <xdr:row>170</xdr:row>
      <xdr:rowOff>60905</xdr:rowOff>
    </xdr:to>
    <xdr:pic>
      <xdr:nvPicPr>
        <xdr:cNvPr id="7" name="Picture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6"/>
        <a:stretch>
          <a:fillRect/>
        </a:stretch>
      </xdr:blipFill>
      <xdr:spPr>
        <a:xfrm>
          <a:off x="8305800" y="32175450"/>
          <a:ext cx="9028571" cy="438095"/>
        </a:xfrm>
        <a:prstGeom prst="rect">
          <a:avLst/>
        </a:prstGeom>
      </xdr:spPr>
    </xdr:pic>
    <xdr:clientData/>
  </xdr:twoCellAnchor>
  <xdr:twoCellAnchor editAs="oneCell">
    <xdr:from>
      <xdr:col>13</xdr:col>
      <xdr:colOff>0</xdr:colOff>
      <xdr:row>171</xdr:row>
      <xdr:rowOff>0</xdr:rowOff>
    </xdr:from>
    <xdr:to>
      <xdr:col>23</xdr:col>
      <xdr:colOff>593512</xdr:colOff>
      <xdr:row>187</xdr:row>
      <xdr:rowOff>178666</xdr:rowOff>
    </xdr:to>
    <xdr:pic>
      <xdr:nvPicPr>
        <xdr:cNvPr id="8" name="Picture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7"/>
        <a:stretch>
          <a:fillRect/>
        </a:stretch>
      </xdr:blipFill>
      <xdr:spPr>
        <a:xfrm>
          <a:off x="8305800" y="32746950"/>
          <a:ext cx="6780952" cy="322857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14</xdr:col>
      <xdr:colOff>0</xdr:colOff>
      <xdr:row>17</xdr:row>
      <xdr:rowOff>147637</xdr:rowOff>
    </xdr:from>
    <xdr:to>
      <xdr:col>21</xdr:col>
      <xdr:colOff>304800</xdr:colOff>
      <xdr:row>34</xdr:row>
      <xdr:rowOff>138112</xdr:rowOff>
    </xdr:to>
    <xdr:graphicFrame macro="">
      <xdr:nvGraphicFramePr>
        <xdr:cNvPr id="3" name="Chart 2">
          <a:extLst>
            <a:ext uri="{FF2B5EF4-FFF2-40B4-BE49-F238E27FC236}">
              <a16:creationId xmlns:a16="http://schemas.microsoft.com/office/drawing/2014/main" id="{00000000-0008-0000-1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19050</xdr:colOff>
      <xdr:row>36</xdr:row>
      <xdr:rowOff>23812</xdr:rowOff>
    </xdr:from>
    <xdr:to>
      <xdr:col>21</xdr:col>
      <xdr:colOff>323850</xdr:colOff>
      <xdr:row>53</xdr:row>
      <xdr:rowOff>14287</xdr:rowOff>
    </xdr:to>
    <xdr:graphicFrame macro="">
      <xdr:nvGraphicFramePr>
        <xdr:cNvPr id="4" name="Chart 3">
          <a:extLst>
            <a:ext uri="{FF2B5EF4-FFF2-40B4-BE49-F238E27FC236}">
              <a16:creationId xmlns:a16="http://schemas.microsoft.com/office/drawing/2014/main" id="{00000000-0008-0000-1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_RH/LV%20AC%20Drives/Harmonics%20Estimator/ABB%20New%20Harmonic%20Estimator/LV%20Harm%20Est%20161007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jesta1/Desktop/Dynamic%20Draw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
      <sheetName val="Harmonic Summary"/>
      <sheetName val="Harmonic Report"/>
      <sheetName val="Summary (1)"/>
      <sheetName val="Report (1)"/>
      <sheetName val="Qual Notes"/>
      <sheetName val="Power"/>
      <sheetName val="Drives"/>
      <sheetName val="Goals"/>
      <sheetName val="IEEE"/>
      <sheetName val="Sum"/>
      <sheetName val="A01"/>
      <sheetName val="A02"/>
      <sheetName val="A03"/>
      <sheetName val="B01"/>
      <sheetName val="C01"/>
      <sheetName val="E01"/>
      <sheetName val="E02"/>
      <sheetName val="E03"/>
      <sheetName val="E04"/>
      <sheetName val="E05"/>
      <sheetName val="E08"/>
      <sheetName val="E09"/>
      <sheetName val="F01"/>
    </sheetNames>
    <sheetDataSet>
      <sheetData sheetId="0"/>
      <sheetData sheetId="1"/>
      <sheetData sheetId="2"/>
      <sheetData sheetId="3"/>
      <sheetData sheetId="4"/>
      <sheetData sheetId="5"/>
      <sheetData sheetId="6">
        <row r="3">
          <cell r="B3" t="str">
            <v>5.75%</v>
          </cell>
        </row>
        <row r="4">
          <cell r="B4" t="str">
            <v>70% Load</v>
          </cell>
        </row>
        <row r="5">
          <cell r="B5" t="str">
            <v>80% Load</v>
          </cell>
        </row>
        <row r="6">
          <cell r="B6" t="str">
            <v>ABB Drives</v>
          </cell>
        </row>
        <row r="7">
          <cell r="B7" t="str">
            <v>All Drives</v>
          </cell>
        </row>
        <row r="8">
          <cell r="B8" t="str">
            <v>Special Notes</v>
          </cell>
        </row>
        <row r="9">
          <cell r="B9" t="str">
            <v>Linear Load</v>
          </cell>
        </row>
        <row r="10">
          <cell r="B10" t="str">
            <v>No Assumptions</v>
          </cell>
        </row>
        <row r="11">
          <cell r="B11" t="str">
            <v>PCC IEEE-2014</v>
          </cell>
        </row>
        <row r="12">
          <cell r="B12" t="str">
            <v>Generator Back-Up</v>
          </cell>
        </row>
      </sheetData>
      <sheetData sheetId="7"/>
      <sheetData sheetId="8">
        <row r="14">
          <cell r="T14" t="str">
            <v>Drive</v>
          </cell>
        </row>
        <row r="15">
          <cell r="M15" t="str">
            <v>6 Pulse w/ No Impedance</v>
          </cell>
          <cell r="O15" t="str">
            <v>none</v>
          </cell>
        </row>
        <row r="16">
          <cell r="M16" t="str">
            <v>6 Pulse w/ 3% AC Reactor</v>
          </cell>
          <cell r="O16" t="str">
            <v>7% Passive Filter</v>
          </cell>
        </row>
        <row r="17">
          <cell r="M17" t="str">
            <v>6 Pulse w/ 5% AC Reactor</v>
          </cell>
          <cell r="O17" t="str">
            <v>5% Passive Filter</v>
          </cell>
        </row>
        <row r="18">
          <cell r="M18" t="str">
            <v>6 Pulse w/ 3% DC Choke</v>
          </cell>
          <cell r="O18" t="str">
            <v>12 Pulse</v>
          </cell>
        </row>
        <row r="19">
          <cell r="M19" t="str">
            <v>6 Pulse w/ 5% DC Choke</v>
          </cell>
          <cell r="O19" t="str">
            <v>18 Pulse</v>
          </cell>
        </row>
        <row r="20">
          <cell r="M20" t="str">
            <v>ACS800/ACH580 ULH (AFE)</v>
          </cell>
          <cell r="O20" t="str">
            <v>1.5% AC Reactor</v>
          </cell>
        </row>
        <row r="21">
          <cell r="M21" t="str">
            <v>6 Pulse Low Capacitance</v>
          </cell>
          <cell r="O21" t="str">
            <v>2.5% AC Reactor</v>
          </cell>
        </row>
        <row r="22">
          <cell r="O22" t="str">
            <v>3% AC Reactor</v>
          </cell>
        </row>
        <row r="23">
          <cell r="O23" t="str">
            <v>5% AC Reactor</v>
          </cell>
        </row>
        <row r="24">
          <cell r="O24" t="str">
            <v>7% AC Reactor</v>
          </cell>
        </row>
        <row r="25">
          <cell r="O25" t="str">
            <v>10% AC Reactor</v>
          </cell>
        </row>
        <row r="29">
          <cell r="M29" t="str">
            <v>UTILITY</v>
          </cell>
        </row>
        <row r="30">
          <cell r="M30" t="str">
            <v>GENERATOR</v>
          </cell>
        </row>
        <row r="34">
          <cell r="M34" t="str">
            <v>XFMR Pri</v>
          </cell>
        </row>
        <row r="35">
          <cell r="M35" t="str">
            <v>XFMR Sec</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
          <cell r="A1">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drawing" Target="../drawings/drawing1.xml"/><Relationship Id="rId7" Type="http://schemas.openxmlformats.org/officeDocument/2006/relationships/oleObject" Target="../embeddings/Microsoft_Visio_2003-2010_Drawing1.vsd"/><Relationship Id="rId2" Type="http://schemas.openxmlformats.org/officeDocument/2006/relationships/printerSettings" Target="../printerSettings/printerSettings1.bin"/><Relationship Id="rId1" Type="http://schemas.openxmlformats.org/officeDocument/2006/relationships/hyperlink" Target="mailto:us-hvacappeng@abb.com" TargetMode="External"/><Relationship Id="rId6" Type="http://schemas.openxmlformats.org/officeDocument/2006/relationships/image" Target="../media/image1.emf"/><Relationship Id="rId5" Type="http://schemas.openxmlformats.org/officeDocument/2006/relationships/oleObject" Target="../embeddings/Microsoft_Visio_2003-2010_Drawing.vsd"/><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392"/>
  <sheetViews>
    <sheetView showGridLines="0" zoomScale="90" zoomScaleNormal="90" workbookViewId="0"/>
  </sheetViews>
  <sheetFormatPr defaultRowHeight="14.4" x14ac:dyDescent="0.3"/>
  <cols>
    <col min="1" max="3" width="5" customWidth="1"/>
    <col min="4" max="4" width="25.6640625" customWidth="1"/>
    <col min="5" max="5" width="20.88671875" customWidth="1"/>
    <col min="13" max="13" width="9.109375" customWidth="1"/>
  </cols>
  <sheetData>
    <row r="1" spans="2:13" ht="18" x14ac:dyDescent="0.35">
      <c r="B1" s="3" t="s">
        <v>503</v>
      </c>
      <c r="J1" s="397" t="s">
        <v>784</v>
      </c>
      <c r="K1" s="330" t="str">
        <f>Notes!K1</f>
        <v>220705P</v>
      </c>
      <c r="M1" s="323"/>
    </row>
    <row r="3" spans="2:13" x14ac:dyDescent="0.3">
      <c r="B3" t="s">
        <v>773</v>
      </c>
    </row>
    <row r="5" spans="2:13" x14ac:dyDescent="0.3">
      <c r="B5" s="4" t="s">
        <v>772</v>
      </c>
    </row>
    <row r="6" spans="2:13" x14ac:dyDescent="0.3">
      <c r="C6" s="152"/>
      <c r="D6" t="s">
        <v>251</v>
      </c>
    </row>
    <row r="7" spans="2:13" x14ac:dyDescent="0.3">
      <c r="C7" s="153"/>
      <c r="D7" t="s">
        <v>252</v>
      </c>
    </row>
    <row r="8" spans="2:13" x14ac:dyDescent="0.3">
      <c r="C8" s="12"/>
      <c r="D8" t="s">
        <v>254</v>
      </c>
    </row>
    <row r="9" spans="2:13" x14ac:dyDescent="0.3">
      <c r="C9" s="105"/>
      <c r="D9" t="s">
        <v>253</v>
      </c>
    </row>
    <row r="10" spans="2:13" x14ac:dyDescent="0.3">
      <c r="C10" s="496"/>
      <c r="D10" t="s">
        <v>255</v>
      </c>
    </row>
    <row r="11" spans="2:13" x14ac:dyDescent="0.3">
      <c r="B11" s="59"/>
      <c r="C11" s="432"/>
      <c r="D11" t="s">
        <v>836</v>
      </c>
    </row>
    <row r="12" spans="2:13" x14ac:dyDescent="0.3">
      <c r="B12" s="59"/>
    </row>
    <row r="13" spans="2:13" ht="30" customHeight="1" x14ac:dyDescent="0.45">
      <c r="B13" s="391" t="s">
        <v>723</v>
      </c>
      <c r="C13" s="390"/>
      <c r="D13" s="390"/>
      <c r="E13" s="390"/>
      <c r="F13" s="390"/>
      <c r="G13" s="390"/>
      <c r="H13" s="390"/>
      <c r="I13" s="390"/>
      <c r="J13" s="390"/>
      <c r="K13" s="390"/>
    </row>
    <row r="14" spans="2:13" x14ac:dyDescent="0.3">
      <c r="B14" s="59"/>
    </row>
    <row r="15" spans="2:13" x14ac:dyDescent="0.3">
      <c r="B15" s="59"/>
    </row>
    <row r="16" spans="2:13" x14ac:dyDescent="0.3">
      <c r="B16" s="59"/>
    </row>
    <row r="17" spans="2:3" x14ac:dyDescent="0.3">
      <c r="B17" s="59"/>
    </row>
    <row r="18" spans="2:3" x14ac:dyDescent="0.3">
      <c r="B18" s="59"/>
    </row>
    <row r="19" spans="2:3" x14ac:dyDescent="0.3">
      <c r="B19" s="59"/>
    </row>
    <row r="20" spans="2:3" x14ac:dyDescent="0.3">
      <c r="B20" s="59"/>
    </row>
    <row r="21" spans="2:3" x14ac:dyDescent="0.3">
      <c r="B21" s="59"/>
    </row>
    <row r="22" spans="2:3" x14ac:dyDescent="0.3">
      <c r="B22" s="59"/>
    </row>
    <row r="23" spans="2:3" x14ac:dyDescent="0.3">
      <c r="B23" s="59"/>
    </row>
    <row r="24" spans="2:3" x14ac:dyDescent="0.3">
      <c r="B24" s="59"/>
    </row>
    <row r="25" spans="2:3" x14ac:dyDescent="0.3">
      <c r="B25" s="59"/>
    </row>
    <row r="26" spans="2:3" x14ac:dyDescent="0.3">
      <c r="B26" s="59"/>
    </row>
    <row r="27" spans="2:3" x14ac:dyDescent="0.3">
      <c r="B27" s="59"/>
    </row>
    <row r="28" spans="2:3" x14ac:dyDescent="0.3">
      <c r="B28" s="59"/>
    </row>
    <row r="29" spans="2:3" x14ac:dyDescent="0.3">
      <c r="B29" s="59"/>
    </row>
    <row r="30" spans="2:3" x14ac:dyDescent="0.3">
      <c r="B30" s="102" t="s">
        <v>724</v>
      </c>
    </row>
    <row r="31" spans="2:3" x14ac:dyDescent="0.3">
      <c r="B31" s="17">
        <v>1</v>
      </c>
      <c r="C31" t="s">
        <v>731</v>
      </c>
    </row>
    <row r="32" spans="2:3" x14ac:dyDescent="0.3">
      <c r="B32" s="17">
        <v>2</v>
      </c>
      <c r="C32" t="s">
        <v>725</v>
      </c>
    </row>
    <row r="33" spans="2:4" x14ac:dyDescent="0.3">
      <c r="B33" s="17">
        <v>3</v>
      </c>
      <c r="C33" t="s">
        <v>732</v>
      </c>
    </row>
    <row r="34" spans="2:4" x14ac:dyDescent="0.3">
      <c r="B34" s="17"/>
      <c r="D34" t="s">
        <v>733</v>
      </c>
    </row>
    <row r="35" spans="2:4" x14ac:dyDescent="0.3">
      <c r="B35" s="17" t="s">
        <v>739</v>
      </c>
      <c r="C35" t="s">
        <v>267</v>
      </c>
    </row>
    <row r="36" spans="2:4" x14ac:dyDescent="0.3">
      <c r="B36" s="17" t="s">
        <v>740</v>
      </c>
      <c r="D36" t="s">
        <v>177</v>
      </c>
    </row>
    <row r="37" spans="2:4" x14ac:dyDescent="0.3">
      <c r="B37" s="17" t="s">
        <v>741</v>
      </c>
      <c r="D37" t="s">
        <v>362</v>
      </c>
    </row>
    <row r="38" spans="2:4" x14ac:dyDescent="0.3">
      <c r="B38" s="17"/>
      <c r="D38" t="s">
        <v>363</v>
      </c>
    </row>
    <row r="39" spans="2:4" x14ac:dyDescent="0.3">
      <c r="B39" s="17" t="s">
        <v>742</v>
      </c>
      <c r="D39" t="s">
        <v>727</v>
      </c>
    </row>
    <row r="40" spans="2:4" x14ac:dyDescent="0.3">
      <c r="B40" s="17"/>
      <c r="D40" t="s">
        <v>364</v>
      </c>
    </row>
    <row r="41" spans="2:4" x14ac:dyDescent="0.3">
      <c r="B41" s="17"/>
      <c r="C41" t="s">
        <v>766</v>
      </c>
    </row>
    <row r="42" spans="2:4" x14ac:dyDescent="0.3">
      <c r="B42" s="17">
        <v>5</v>
      </c>
      <c r="C42" t="s">
        <v>734</v>
      </c>
    </row>
    <row r="43" spans="2:4" x14ac:dyDescent="0.3">
      <c r="B43" s="17">
        <v>6</v>
      </c>
      <c r="C43" t="s">
        <v>735</v>
      </c>
    </row>
    <row r="44" spans="2:4" x14ac:dyDescent="0.3">
      <c r="B44" s="17">
        <v>7</v>
      </c>
      <c r="C44" t="s">
        <v>736</v>
      </c>
    </row>
    <row r="45" spans="2:4" x14ac:dyDescent="0.3">
      <c r="B45" s="17">
        <v>8</v>
      </c>
      <c r="C45" t="s">
        <v>737</v>
      </c>
    </row>
    <row r="46" spans="2:4" x14ac:dyDescent="0.3">
      <c r="B46" s="17"/>
      <c r="D46" t="s">
        <v>738</v>
      </c>
    </row>
    <row r="47" spans="2:4" x14ac:dyDescent="0.3">
      <c r="B47" s="17">
        <v>9</v>
      </c>
      <c r="C47" t="s">
        <v>726</v>
      </c>
    </row>
    <row r="48" spans="2:4" x14ac:dyDescent="0.3">
      <c r="B48" s="1"/>
      <c r="D48" t="s">
        <v>728</v>
      </c>
    </row>
    <row r="49" spans="2:11" x14ac:dyDescent="0.3">
      <c r="B49" s="1"/>
      <c r="D49" t="s">
        <v>1111</v>
      </c>
    </row>
    <row r="50" spans="2:11" x14ac:dyDescent="0.3">
      <c r="B50" s="1"/>
    </row>
    <row r="51" spans="2:11" ht="30" customHeight="1" x14ac:dyDescent="0.45">
      <c r="B51" s="391" t="s">
        <v>729</v>
      </c>
      <c r="C51" s="390"/>
      <c r="D51" s="390"/>
      <c r="E51" s="390"/>
      <c r="F51" s="390"/>
      <c r="G51" s="390"/>
      <c r="H51" s="390"/>
      <c r="I51" s="390"/>
      <c r="J51" s="390"/>
      <c r="K51" s="390"/>
    </row>
    <row r="52" spans="2:11" x14ac:dyDescent="0.3">
      <c r="B52" s="59"/>
    </row>
    <row r="53" spans="2:11" x14ac:dyDescent="0.3">
      <c r="B53" s="59"/>
    </row>
    <row r="54" spans="2:11" x14ac:dyDescent="0.3">
      <c r="B54" s="59"/>
    </row>
    <row r="55" spans="2:11" x14ac:dyDescent="0.3">
      <c r="B55" s="59"/>
    </row>
    <row r="56" spans="2:11" x14ac:dyDescent="0.3">
      <c r="B56" s="59"/>
    </row>
    <row r="57" spans="2:11" x14ac:dyDescent="0.3">
      <c r="B57" s="59"/>
    </row>
    <row r="58" spans="2:11" x14ac:dyDescent="0.3">
      <c r="B58" s="59"/>
    </row>
    <row r="59" spans="2:11" x14ac:dyDescent="0.3">
      <c r="B59" s="59"/>
    </row>
    <row r="60" spans="2:11" x14ac:dyDescent="0.3">
      <c r="B60" s="59"/>
    </row>
    <row r="61" spans="2:11" x14ac:dyDescent="0.3">
      <c r="B61" s="59"/>
    </row>
    <row r="62" spans="2:11" x14ac:dyDescent="0.3">
      <c r="B62" s="59"/>
    </row>
    <row r="63" spans="2:11" x14ac:dyDescent="0.3">
      <c r="B63" s="59"/>
    </row>
    <row r="64" spans="2:11" x14ac:dyDescent="0.3">
      <c r="B64" s="59"/>
    </row>
    <row r="65" spans="2:4" x14ac:dyDescent="0.3">
      <c r="B65" s="59"/>
    </row>
    <row r="66" spans="2:4" x14ac:dyDescent="0.3">
      <c r="B66" s="59"/>
    </row>
    <row r="67" spans="2:4" x14ac:dyDescent="0.3">
      <c r="B67" s="59"/>
    </row>
    <row r="68" spans="2:4" x14ac:dyDescent="0.3">
      <c r="B68" s="102" t="s">
        <v>724</v>
      </c>
    </row>
    <row r="69" spans="2:4" x14ac:dyDescent="0.3">
      <c r="B69" s="17">
        <v>1</v>
      </c>
      <c r="C69" t="s">
        <v>731</v>
      </c>
    </row>
    <row r="70" spans="2:4" x14ac:dyDescent="0.3">
      <c r="B70" s="17">
        <v>2</v>
      </c>
      <c r="C70" t="s">
        <v>730</v>
      </c>
    </row>
    <row r="71" spans="2:4" x14ac:dyDescent="0.3">
      <c r="B71" s="17">
        <v>3</v>
      </c>
      <c r="C71" t="s">
        <v>743</v>
      </c>
    </row>
    <row r="72" spans="2:4" x14ac:dyDescent="0.3">
      <c r="B72" s="17">
        <v>4</v>
      </c>
      <c r="C72" t="s">
        <v>744</v>
      </c>
    </row>
    <row r="73" spans="2:4" x14ac:dyDescent="0.3">
      <c r="B73" s="17">
        <v>5</v>
      </c>
      <c r="C73" t="s">
        <v>745</v>
      </c>
    </row>
    <row r="74" spans="2:4" x14ac:dyDescent="0.3">
      <c r="B74" s="17"/>
      <c r="C74" t="s">
        <v>747</v>
      </c>
    </row>
    <row r="75" spans="2:4" x14ac:dyDescent="0.3">
      <c r="B75" s="17">
        <v>6</v>
      </c>
      <c r="C75" t="s">
        <v>746</v>
      </c>
    </row>
    <row r="76" spans="2:4" x14ac:dyDescent="0.3">
      <c r="B76" s="17">
        <v>7</v>
      </c>
      <c r="C76" t="s">
        <v>748</v>
      </c>
    </row>
    <row r="77" spans="2:4" x14ac:dyDescent="0.3">
      <c r="B77" s="17"/>
      <c r="D77" t="s">
        <v>749</v>
      </c>
    </row>
    <row r="78" spans="2:4" x14ac:dyDescent="0.3">
      <c r="B78" s="17"/>
      <c r="C78" t="s">
        <v>1016</v>
      </c>
    </row>
    <row r="79" spans="2:4" x14ac:dyDescent="0.3">
      <c r="B79" s="17"/>
      <c r="D79" t="s">
        <v>1015</v>
      </c>
    </row>
    <row r="80" spans="2:4" x14ac:dyDescent="0.3">
      <c r="B80" s="17"/>
    </row>
    <row r="81" spans="2:11" x14ac:dyDescent="0.3">
      <c r="B81" s="393" t="s">
        <v>770</v>
      </c>
    </row>
    <row r="82" spans="2:11" x14ac:dyDescent="0.3">
      <c r="B82" s="17"/>
      <c r="C82" t="s">
        <v>771</v>
      </c>
    </row>
    <row r="83" spans="2:11" x14ac:dyDescent="0.3">
      <c r="B83" s="17"/>
      <c r="D83" t="s">
        <v>846</v>
      </c>
    </row>
    <row r="84" spans="2:11" x14ac:dyDescent="0.3">
      <c r="B84" s="17"/>
      <c r="D84" t="s">
        <v>847</v>
      </c>
    </row>
    <row r="85" spans="2:11" x14ac:dyDescent="0.3">
      <c r="B85" s="17"/>
      <c r="D85" t="s">
        <v>848</v>
      </c>
    </row>
    <row r="86" spans="2:11" x14ac:dyDescent="0.3">
      <c r="B86" s="17"/>
      <c r="D86" t="s">
        <v>849</v>
      </c>
      <c r="G86" s="394">
        <f>Input!J8/1000/Input!J10</f>
        <v>12.5</v>
      </c>
      <c r="H86" t="s">
        <v>806</v>
      </c>
    </row>
    <row r="87" spans="2:11" x14ac:dyDescent="0.3">
      <c r="B87" s="17"/>
      <c r="D87" t="s">
        <v>845</v>
      </c>
    </row>
    <row r="88" spans="2:11" x14ac:dyDescent="0.3">
      <c r="B88" s="17"/>
    </row>
    <row r="89" spans="2:11" ht="30" customHeight="1" x14ac:dyDescent="0.45">
      <c r="B89" s="391" t="s">
        <v>1124</v>
      </c>
      <c r="C89" s="390"/>
      <c r="D89" s="390"/>
      <c r="E89" s="390"/>
      <c r="F89" s="390"/>
      <c r="G89" s="390"/>
      <c r="H89" s="390"/>
      <c r="I89" s="390"/>
      <c r="J89" s="390"/>
      <c r="K89" s="390"/>
    </row>
    <row r="90" spans="2:11" x14ac:dyDescent="0.3">
      <c r="B90" s="59"/>
    </row>
    <row r="91" spans="2:11" x14ac:dyDescent="0.3">
      <c r="B91" s="59"/>
      <c r="C91" t="s">
        <v>1137</v>
      </c>
    </row>
    <row r="92" spans="2:11" x14ac:dyDescent="0.3">
      <c r="B92" s="59"/>
    </row>
    <row r="93" spans="2:11" x14ac:dyDescent="0.3">
      <c r="B93" s="59"/>
    </row>
    <row r="94" spans="2:11" x14ac:dyDescent="0.3">
      <c r="B94" s="59"/>
    </row>
    <row r="95" spans="2:11" x14ac:dyDescent="0.3">
      <c r="B95" s="59"/>
    </row>
    <row r="96" spans="2:11" x14ac:dyDescent="0.3">
      <c r="B96" s="59"/>
    </row>
    <row r="97" spans="2:3" x14ac:dyDescent="0.3">
      <c r="B97" s="59"/>
    </row>
    <row r="98" spans="2:3" x14ac:dyDescent="0.3">
      <c r="B98" s="59"/>
    </row>
    <row r="99" spans="2:3" x14ac:dyDescent="0.3">
      <c r="B99" s="59"/>
    </row>
    <row r="100" spans="2:3" x14ac:dyDescent="0.3">
      <c r="B100" s="59"/>
    </row>
    <row r="101" spans="2:3" x14ac:dyDescent="0.3">
      <c r="B101" s="59"/>
    </row>
    <row r="102" spans="2:3" x14ac:dyDescent="0.3">
      <c r="B102" s="59"/>
    </row>
    <row r="103" spans="2:3" x14ac:dyDescent="0.3">
      <c r="B103" s="59"/>
      <c r="C103" t="s">
        <v>1138</v>
      </c>
    </row>
    <row r="104" spans="2:3" x14ac:dyDescent="0.3">
      <c r="B104" s="59"/>
    </row>
    <row r="105" spans="2:3" x14ac:dyDescent="0.3">
      <c r="B105" s="59"/>
    </row>
    <row r="106" spans="2:3" x14ac:dyDescent="0.3">
      <c r="B106" s="59"/>
    </row>
    <row r="107" spans="2:3" x14ac:dyDescent="0.3">
      <c r="B107" s="59"/>
    </row>
    <row r="108" spans="2:3" x14ac:dyDescent="0.3">
      <c r="B108" s="59"/>
    </row>
    <row r="109" spans="2:3" x14ac:dyDescent="0.3">
      <c r="B109" s="59"/>
    </row>
    <row r="110" spans="2:3" x14ac:dyDescent="0.3">
      <c r="B110" s="59"/>
    </row>
    <row r="111" spans="2:3" x14ac:dyDescent="0.3">
      <c r="B111" s="59"/>
    </row>
    <row r="112" spans="2:3" x14ac:dyDescent="0.3">
      <c r="B112" s="59"/>
    </row>
    <row r="113" spans="2:3" x14ac:dyDescent="0.3">
      <c r="B113" s="59"/>
    </row>
    <row r="114" spans="2:3" x14ac:dyDescent="0.3">
      <c r="B114" t="s">
        <v>1098</v>
      </c>
    </row>
    <row r="115" spans="2:3" x14ac:dyDescent="0.3">
      <c r="B115" t="s">
        <v>1104</v>
      </c>
    </row>
    <row r="116" spans="2:3" x14ac:dyDescent="0.3">
      <c r="C116" t="s">
        <v>1023</v>
      </c>
    </row>
    <row r="117" spans="2:3" x14ac:dyDescent="0.3">
      <c r="C117" t="s">
        <v>1014</v>
      </c>
    </row>
    <row r="118" spans="2:3" x14ac:dyDescent="0.3">
      <c r="B118" t="s">
        <v>1101</v>
      </c>
    </row>
    <row r="119" spans="2:3" x14ac:dyDescent="0.3">
      <c r="B119" t="s">
        <v>1099</v>
      </c>
    </row>
    <row r="120" spans="2:3" x14ac:dyDescent="0.3">
      <c r="B120" t="s">
        <v>1100</v>
      </c>
    </row>
    <row r="121" spans="2:3" x14ac:dyDescent="0.3">
      <c r="B121" t="s">
        <v>1102</v>
      </c>
    </row>
    <row r="122" spans="2:3" x14ac:dyDescent="0.3">
      <c r="B122" t="s">
        <v>1103</v>
      </c>
    </row>
    <row r="124" spans="2:3" x14ac:dyDescent="0.3">
      <c r="C124" t="s">
        <v>1139</v>
      </c>
    </row>
    <row r="135" spans="2:3" x14ac:dyDescent="0.3">
      <c r="B135" t="s">
        <v>1112</v>
      </c>
    </row>
    <row r="136" spans="2:3" x14ac:dyDescent="0.3">
      <c r="C136" t="s">
        <v>1105</v>
      </c>
    </row>
    <row r="137" spans="2:3" x14ac:dyDescent="0.3">
      <c r="C137" t="s">
        <v>1106</v>
      </c>
    </row>
    <row r="138" spans="2:3" x14ac:dyDescent="0.3">
      <c r="C138" t="s">
        <v>1107</v>
      </c>
    </row>
    <row r="139" spans="2:3" x14ac:dyDescent="0.3">
      <c r="C139" t="s">
        <v>1108</v>
      </c>
    </row>
    <row r="140" spans="2:3" x14ac:dyDescent="0.3">
      <c r="B140" t="s">
        <v>1110</v>
      </c>
    </row>
    <row r="141" spans="2:3" x14ac:dyDescent="0.3">
      <c r="B141" t="s">
        <v>1109</v>
      </c>
    </row>
    <row r="142" spans="2:3" x14ac:dyDescent="0.3">
      <c r="B142" t="s">
        <v>1113</v>
      </c>
    </row>
    <row r="143" spans="2:3" x14ac:dyDescent="0.3">
      <c r="B143" t="s">
        <v>1114</v>
      </c>
    </row>
    <row r="145" spans="2:11" ht="30" customHeight="1" x14ac:dyDescent="0.45">
      <c r="B145" s="391" t="s">
        <v>750</v>
      </c>
      <c r="C145" s="390"/>
      <c r="D145" s="390"/>
      <c r="E145" s="390"/>
      <c r="F145" s="390"/>
      <c r="G145" s="390"/>
      <c r="H145" s="390"/>
      <c r="I145" s="390"/>
      <c r="J145" s="390"/>
      <c r="K145" s="390"/>
    </row>
    <row r="147" spans="2:11" x14ac:dyDescent="0.3">
      <c r="B147" s="102" t="s">
        <v>724</v>
      </c>
    </row>
    <row r="148" spans="2:11" x14ac:dyDescent="0.3">
      <c r="B148" s="17">
        <v>1</v>
      </c>
      <c r="C148" t="s">
        <v>1115</v>
      </c>
    </row>
    <row r="149" spans="2:11" x14ac:dyDescent="0.3">
      <c r="D149" t="s">
        <v>751</v>
      </c>
    </row>
    <row r="150" spans="2:11" x14ac:dyDescent="0.3">
      <c r="D150" t="s">
        <v>752</v>
      </c>
    </row>
    <row r="151" spans="2:11" x14ac:dyDescent="0.3">
      <c r="B151" s="17">
        <v>2</v>
      </c>
      <c r="C151" t="s">
        <v>1116</v>
      </c>
    </row>
    <row r="152" spans="2:11" x14ac:dyDescent="0.3">
      <c r="B152" s="17"/>
      <c r="D152" t="s">
        <v>754</v>
      </c>
    </row>
    <row r="153" spans="2:11" x14ac:dyDescent="0.3">
      <c r="B153" s="17"/>
      <c r="D153" t="str">
        <f>Drives!M6</f>
        <v>6 Pulse w/ No Impedance</v>
      </c>
    </row>
    <row r="154" spans="2:11" x14ac:dyDescent="0.3">
      <c r="B154" s="17"/>
      <c r="D154" t="str">
        <f>Drives!M7</f>
        <v>6 Pulse w/ 3% Impedance</v>
      </c>
    </row>
    <row r="155" spans="2:11" x14ac:dyDescent="0.3">
      <c r="B155" s="17"/>
      <c r="D155" t="str">
        <f>Drives!M8</f>
        <v>6 Pulse w/ 5% Impedance</v>
      </c>
    </row>
    <row r="156" spans="2:11" x14ac:dyDescent="0.3">
      <c r="B156" s="17"/>
      <c r="D156" t="str">
        <f>Drives!M9</f>
        <v>12 Pulse Drive</v>
      </c>
    </row>
    <row r="157" spans="2:11" x14ac:dyDescent="0.3">
      <c r="B157" s="17"/>
      <c r="D157" t="str">
        <f>Drives!M10</f>
        <v>18 Pulse Drive</v>
      </c>
    </row>
    <row r="158" spans="2:11" x14ac:dyDescent="0.3">
      <c r="D158" t="str">
        <f>Drives!M11</f>
        <v>ULH (AFE) Drive</v>
      </c>
    </row>
    <row r="159" spans="2:11" x14ac:dyDescent="0.3">
      <c r="B159" s="17">
        <v>3</v>
      </c>
      <c r="C159" t="s">
        <v>1117</v>
      </c>
    </row>
    <row r="160" spans="2:11" x14ac:dyDescent="0.3">
      <c r="D160" t="s">
        <v>753</v>
      </c>
    </row>
    <row r="161" spans="2:4" x14ac:dyDescent="0.3">
      <c r="D161" t="s">
        <v>755</v>
      </c>
    </row>
    <row r="162" spans="2:4" x14ac:dyDescent="0.3">
      <c r="D162" t="s">
        <v>1039</v>
      </c>
    </row>
    <row r="163" spans="2:4" x14ac:dyDescent="0.3">
      <c r="D163" t="str">
        <f>Drives!O7</f>
        <v>1.5% AC Reactor</v>
      </c>
    </row>
    <row r="164" spans="2:4" x14ac:dyDescent="0.3">
      <c r="D164" t="str">
        <f>Drives!O8</f>
        <v>2.5% AC Reactor</v>
      </c>
    </row>
    <row r="165" spans="2:4" x14ac:dyDescent="0.3">
      <c r="D165" t="str">
        <f>Drives!O9</f>
        <v>3% AC Reactor</v>
      </c>
    </row>
    <row r="166" spans="2:4" x14ac:dyDescent="0.3">
      <c r="D166" t="str">
        <f>Drives!O10</f>
        <v>5% AC Reactor</v>
      </c>
    </row>
    <row r="167" spans="2:4" x14ac:dyDescent="0.3">
      <c r="D167" t="str">
        <f>Drives!O11</f>
        <v>7% AC Reactor</v>
      </c>
    </row>
    <row r="168" spans="2:4" x14ac:dyDescent="0.3">
      <c r="D168" t="str">
        <f>Drives!O12</f>
        <v>10% AC Reactor</v>
      </c>
    </row>
    <row r="169" spans="2:4" x14ac:dyDescent="0.3">
      <c r="D169" t="str">
        <f>Drives!O13</f>
        <v>7% THDi Passive Filter</v>
      </c>
    </row>
    <row r="170" spans="2:4" x14ac:dyDescent="0.3">
      <c r="D170" t="str">
        <f>Drives!O14</f>
        <v>5% THDi Passive Filter</v>
      </c>
    </row>
    <row r="171" spans="2:4" x14ac:dyDescent="0.3">
      <c r="B171" s="17"/>
      <c r="C171" t="s">
        <v>761</v>
      </c>
    </row>
    <row r="172" spans="2:4" x14ac:dyDescent="0.3">
      <c r="B172" s="17"/>
      <c r="D172" t="s">
        <v>762</v>
      </c>
    </row>
    <row r="173" spans="2:4" ht="30" customHeight="1" x14ac:dyDescent="0.3">
      <c r="C173" t="s">
        <v>1018</v>
      </c>
    </row>
    <row r="174" spans="2:4" x14ac:dyDescent="0.3">
      <c r="B174" s="17">
        <v>4</v>
      </c>
      <c r="C174" t="s">
        <v>1118</v>
      </c>
    </row>
    <row r="175" spans="2:4" x14ac:dyDescent="0.3">
      <c r="B175" s="17"/>
      <c r="D175" t="s">
        <v>778</v>
      </c>
    </row>
    <row r="176" spans="2:4" x14ac:dyDescent="0.3">
      <c r="B176" s="17"/>
      <c r="D176" t="s">
        <v>756</v>
      </c>
    </row>
    <row r="177" spans="2:11" x14ac:dyDescent="0.3">
      <c r="B177" s="17">
        <v>5</v>
      </c>
      <c r="C177" t="s">
        <v>1119</v>
      </c>
    </row>
    <row r="178" spans="2:11" x14ac:dyDescent="0.3">
      <c r="B178" s="17"/>
      <c r="D178" t="s">
        <v>757</v>
      </c>
    </row>
    <row r="179" spans="2:11" x14ac:dyDescent="0.3">
      <c r="B179" s="17">
        <v>6</v>
      </c>
      <c r="C179" t="s">
        <v>1120</v>
      </c>
    </row>
    <row r="180" spans="2:11" x14ac:dyDescent="0.3">
      <c r="B180" s="17"/>
      <c r="D180" t="s">
        <v>758</v>
      </c>
    </row>
    <row r="181" spans="2:11" x14ac:dyDescent="0.3">
      <c r="B181" s="17"/>
      <c r="D181" t="s">
        <v>759</v>
      </c>
    </row>
    <row r="182" spans="2:11" x14ac:dyDescent="0.3">
      <c r="B182" s="17"/>
      <c r="D182" t="s">
        <v>1019</v>
      </c>
    </row>
    <row r="183" spans="2:11" x14ac:dyDescent="0.3">
      <c r="B183" s="17">
        <v>7</v>
      </c>
      <c r="C183" t="s">
        <v>1121</v>
      </c>
    </row>
    <row r="184" spans="2:11" x14ac:dyDescent="0.3">
      <c r="B184" s="17"/>
      <c r="D184" t="s">
        <v>1122</v>
      </c>
    </row>
    <row r="185" spans="2:11" x14ac:dyDescent="0.3">
      <c r="B185" s="17"/>
    </row>
    <row r="186" spans="2:11" ht="15.6" x14ac:dyDescent="0.3">
      <c r="C186" s="499" t="s">
        <v>1035</v>
      </c>
    </row>
    <row r="188" spans="2:11" ht="30" customHeight="1" x14ac:dyDescent="0.45">
      <c r="B188" s="391" t="s">
        <v>760</v>
      </c>
      <c r="C188" s="390"/>
      <c r="D188" s="390"/>
      <c r="E188" s="390"/>
      <c r="F188" s="390"/>
      <c r="G188" s="390"/>
      <c r="H188" s="390"/>
      <c r="I188" s="390"/>
      <c r="J188" s="390"/>
      <c r="K188" s="390"/>
    </row>
    <row r="190" spans="2:11" x14ac:dyDescent="0.3">
      <c r="C190" s="392" t="s">
        <v>1123</v>
      </c>
    </row>
    <row r="191" spans="2:11" ht="15" customHeight="1" x14ac:dyDescent="0.3">
      <c r="C191" t="s">
        <v>1020</v>
      </c>
    </row>
    <row r="192" spans="2:11" x14ac:dyDescent="0.3">
      <c r="B192" s="59"/>
      <c r="H192" s="17"/>
    </row>
    <row r="193" spans="2:11" x14ac:dyDescent="0.3">
      <c r="D193" s="409" t="s">
        <v>803</v>
      </c>
      <c r="E193" s="410" t="s">
        <v>804</v>
      </c>
      <c r="F193" s="2"/>
      <c r="G193" s="408" t="s">
        <v>805</v>
      </c>
    </row>
    <row r="194" spans="2:11" x14ac:dyDescent="0.3">
      <c r="D194" s="12" t="s">
        <v>774</v>
      </c>
      <c r="E194" s="501">
        <v>0.95</v>
      </c>
      <c r="G194" s="239">
        <v>0.95</v>
      </c>
    </row>
    <row r="195" spans="2:11" x14ac:dyDescent="0.3">
      <c r="D195" s="12" t="s">
        <v>775</v>
      </c>
      <c r="E195" s="501">
        <v>0.97</v>
      </c>
      <c r="G195" s="239">
        <v>0.97</v>
      </c>
    </row>
    <row r="196" spans="2:11" x14ac:dyDescent="0.3">
      <c r="D196" s="12" t="s">
        <v>776</v>
      </c>
      <c r="E196" s="502">
        <v>32.799999999999997</v>
      </c>
      <c r="G196" s="240">
        <v>32.799999999999997</v>
      </c>
    </row>
    <row r="197" spans="2:11" x14ac:dyDescent="0.3">
      <c r="D197" s="12" t="s">
        <v>777</v>
      </c>
      <c r="E197" s="500">
        <v>0.435</v>
      </c>
      <c r="G197" s="475">
        <v>0.435</v>
      </c>
    </row>
    <row r="198" spans="2:11" x14ac:dyDescent="0.3">
      <c r="D198" s="12"/>
      <c r="E198" s="466"/>
      <c r="G198" s="239"/>
    </row>
    <row r="199" spans="2:11" x14ac:dyDescent="0.3">
      <c r="D199" s="12" t="s">
        <v>1036</v>
      </c>
      <c r="E199" s="500" t="s">
        <v>431</v>
      </c>
      <c r="G199" s="475" t="s">
        <v>431</v>
      </c>
      <c r="H199" t="s">
        <v>1037</v>
      </c>
    </row>
    <row r="200" spans="2:11" x14ac:dyDescent="0.3">
      <c r="D200" s="433" t="s">
        <v>665</v>
      </c>
      <c r="E200" s="434">
        <v>-35</v>
      </c>
      <c r="F200" s="435" t="s">
        <v>400</v>
      </c>
      <c r="G200" s="433">
        <v>-35</v>
      </c>
      <c r="I200" s="435" t="s">
        <v>854</v>
      </c>
    </row>
    <row r="201" spans="2:11" x14ac:dyDescent="0.3">
      <c r="D201" s="433" t="s">
        <v>666</v>
      </c>
      <c r="E201" s="434">
        <v>-40</v>
      </c>
      <c r="F201" s="435" t="s">
        <v>400</v>
      </c>
      <c r="G201" s="433">
        <v>-40</v>
      </c>
      <c r="I201" s="435" t="s">
        <v>854</v>
      </c>
    </row>
    <row r="202" spans="2:11" x14ac:dyDescent="0.3">
      <c r="D202" s="12"/>
      <c r="E202" s="228"/>
      <c r="G202" s="12"/>
    </row>
    <row r="203" spans="2:11" x14ac:dyDescent="0.3">
      <c r="D203" s="12"/>
      <c r="E203" s="464"/>
      <c r="G203" s="11"/>
    </row>
    <row r="206" spans="2:11" ht="30" customHeight="1" x14ac:dyDescent="0.45">
      <c r="B206" s="391" t="s">
        <v>763</v>
      </c>
      <c r="C206" s="390"/>
      <c r="D206" s="390"/>
      <c r="E206" s="390"/>
      <c r="F206" s="390"/>
      <c r="G206" s="390"/>
      <c r="H206" s="390"/>
      <c r="I206" s="390"/>
      <c r="J206" s="390"/>
      <c r="K206" s="390"/>
    </row>
    <row r="208" spans="2:11" x14ac:dyDescent="0.3">
      <c r="C208" s="4" t="s">
        <v>667</v>
      </c>
    </row>
    <row r="209" spans="3:5" x14ac:dyDescent="0.3">
      <c r="C209" t="s">
        <v>764</v>
      </c>
    </row>
    <row r="210" spans="3:5" x14ac:dyDescent="0.3">
      <c r="C210" t="s">
        <v>765</v>
      </c>
    </row>
    <row r="212" spans="3:5" x14ac:dyDescent="0.3">
      <c r="D212" s="17" t="s">
        <v>231</v>
      </c>
      <c r="E212" s="17" t="s">
        <v>232</v>
      </c>
    </row>
    <row r="214" spans="3:5" x14ac:dyDescent="0.3">
      <c r="C214" s="1" t="s">
        <v>373</v>
      </c>
      <c r="D214" s="1" t="s">
        <v>369</v>
      </c>
      <c r="E214" s="1" t="s">
        <v>224</v>
      </c>
    </row>
    <row r="215" spans="3:5" x14ac:dyDescent="0.3">
      <c r="C215" s="1" t="s">
        <v>373</v>
      </c>
      <c r="D215" s="1" t="s">
        <v>369</v>
      </c>
      <c r="E215" s="1" t="s">
        <v>225</v>
      </c>
    </row>
    <row r="216" spans="3:5" x14ac:dyDescent="0.3">
      <c r="C216" s="1" t="s">
        <v>373</v>
      </c>
      <c r="D216" s="1" t="s">
        <v>369</v>
      </c>
      <c r="E216" s="1" t="s">
        <v>226</v>
      </c>
    </row>
    <row r="217" spans="3:5" x14ac:dyDescent="0.3">
      <c r="C217" s="1" t="s">
        <v>373</v>
      </c>
      <c r="D217" s="1" t="s">
        <v>369</v>
      </c>
      <c r="E217" s="1" t="s">
        <v>227</v>
      </c>
    </row>
    <row r="218" spans="3:5" x14ac:dyDescent="0.3">
      <c r="C218" s="1" t="s">
        <v>373</v>
      </c>
      <c r="D218" s="1" t="s">
        <v>369</v>
      </c>
      <c r="E218" s="1" t="s">
        <v>228</v>
      </c>
    </row>
    <row r="219" spans="3:5" x14ac:dyDescent="0.3">
      <c r="C219" s="1" t="s">
        <v>373</v>
      </c>
      <c r="D219" s="1" t="s">
        <v>369</v>
      </c>
      <c r="E219" s="1" t="s">
        <v>229</v>
      </c>
    </row>
    <row r="220" spans="3:5" x14ac:dyDescent="0.3">
      <c r="C220" s="1" t="s">
        <v>373</v>
      </c>
      <c r="D220" s="1" t="s">
        <v>369</v>
      </c>
      <c r="E220" s="1" t="s">
        <v>866</v>
      </c>
    </row>
    <row r="221" spans="3:5" x14ac:dyDescent="0.3">
      <c r="C221" s="1" t="s">
        <v>373</v>
      </c>
      <c r="D221" s="1" t="s">
        <v>369</v>
      </c>
      <c r="E221" s="1" t="s">
        <v>867</v>
      </c>
    </row>
    <row r="222" spans="3:5" x14ac:dyDescent="0.3">
      <c r="C222" s="1"/>
      <c r="D222" s="1"/>
      <c r="E222" s="295"/>
    </row>
    <row r="223" spans="3:5" x14ac:dyDescent="0.3">
      <c r="C223" s="1" t="s">
        <v>373</v>
      </c>
      <c r="D223" s="1" t="s">
        <v>370</v>
      </c>
      <c r="E223" s="1" t="s">
        <v>224</v>
      </c>
    </row>
    <row r="224" spans="3:5" x14ac:dyDescent="0.3">
      <c r="C224" s="1" t="s">
        <v>373</v>
      </c>
      <c r="D224" s="1" t="s">
        <v>370</v>
      </c>
      <c r="E224" s="1" t="s">
        <v>225</v>
      </c>
    </row>
    <row r="225" spans="1:5" x14ac:dyDescent="0.3">
      <c r="C225" s="1" t="s">
        <v>373</v>
      </c>
      <c r="D225" s="1" t="s">
        <v>370</v>
      </c>
      <c r="E225" s="1" t="s">
        <v>226</v>
      </c>
    </row>
    <row r="226" spans="1:5" ht="30" customHeight="1" x14ac:dyDescent="0.3">
      <c r="C226" s="1" t="s">
        <v>373</v>
      </c>
      <c r="D226" s="1" t="s">
        <v>370</v>
      </c>
      <c r="E226" s="1" t="s">
        <v>227</v>
      </c>
    </row>
    <row r="227" spans="1:5" x14ac:dyDescent="0.3">
      <c r="B227" s="59"/>
      <c r="C227" s="1" t="s">
        <v>373</v>
      </c>
      <c r="D227" s="1" t="s">
        <v>370</v>
      </c>
      <c r="E227" s="1" t="s">
        <v>228</v>
      </c>
    </row>
    <row r="228" spans="1:5" ht="15.75" customHeight="1" x14ac:dyDescent="0.3">
      <c r="A228" s="2"/>
      <c r="C228" s="1" t="s">
        <v>373</v>
      </c>
      <c r="D228" s="1" t="s">
        <v>370</v>
      </c>
      <c r="E228" s="1" t="s">
        <v>229</v>
      </c>
    </row>
    <row r="229" spans="1:5" ht="15.75" customHeight="1" x14ac:dyDescent="0.3">
      <c r="C229" s="1" t="s">
        <v>373</v>
      </c>
      <c r="D229" s="1" t="s">
        <v>370</v>
      </c>
      <c r="E229" s="1" t="s">
        <v>866</v>
      </c>
    </row>
    <row r="230" spans="1:5" ht="15" customHeight="1" x14ac:dyDescent="0.3">
      <c r="C230" s="1" t="s">
        <v>373</v>
      </c>
      <c r="D230" s="1" t="s">
        <v>370</v>
      </c>
      <c r="E230" s="1" t="s">
        <v>867</v>
      </c>
    </row>
    <row r="231" spans="1:5" ht="15.75" customHeight="1" x14ac:dyDescent="0.3">
      <c r="C231" s="1"/>
      <c r="D231" s="1"/>
      <c r="E231" s="1"/>
    </row>
    <row r="232" spans="1:5" ht="15.75" customHeight="1" x14ac:dyDescent="0.3">
      <c r="C232" s="1" t="s">
        <v>373</v>
      </c>
      <c r="D232" s="1" t="s">
        <v>230</v>
      </c>
      <c r="E232" s="1" t="s">
        <v>224</v>
      </c>
    </row>
    <row r="233" spans="1:5" x14ac:dyDescent="0.3">
      <c r="C233" s="1" t="s">
        <v>373</v>
      </c>
      <c r="D233" s="1" t="s">
        <v>230</v>
      </c>
      <c r="E233" s="1" t="s">
        <v>225</v>
      </c>
    </row>
    <row r="234" spans="1:5" x14ac:dyDescent="0.3">
      <c r="C234" s="1" t="s">
        <v>373</v>
      </c>
      <c r="D234" s="1" t="s">
        <v>230</v>
      </c>
      <c r="E234" s="1" t="s">
        <v>226</v>
      </c>
    </row>
    <row r="235" spans="1:5" x14ac:dyDescent="0.3">
      <c r="C235" s="1" t="s">
        <v>373</v>
      </c>
      <c r="D235" s="1" t="s">
        <v>230</v>
      </c>
      <c r="E235" s="1" t="s">
        <v>227</v>
      </c>
    </row>
    <row r="236" spans="1:5" x14ac:dyDescent="0.3">
      <c r="C236" s="1" t="s">
        <v>373</v>
      </c>
      <c r="D236" s="1" t="s">
        <v>230</v>
      </c>
      <c r="E236" s="1" t="s">
        <v>228</v>
      </c>
    </row>
    <row r="237" spans="1:5" x14ac:dyDescent="0.3">
      <c r="C237" s="1" t="s">
        <v>373</v>
      </c>
      <c r="D237" s="1" t="s">
        <v>230</v>
      </c>
      <c r="E237" s="1" t="s">
        <v>229</v>
      </c>
    </row>
    <row r="238" spans="1:5" x14ac:dyDescent="0.3">
      <c r="C238" s="1" t="s">
        <v>373</v>
      </c>
      <c r="D238" s="1" t="s">
        <v>230</v>
      </c>
      <c r="E238" s="1" t="s">
        <v>866</v>
      </c>
    </row>
    <row r="239" spans="1:5" x14ac:dyDescent="0.3">
      <c r="C239" s="1" t="s">
        <v>373</v>
      </c>
      <c r="D239" s="1" t="s">
        <v>230</v>
      </c>
      <c r="E239" s="1" t="s">
        <v>867</v>
      </c>
    </row>
    <row r="242" spans="2:11" ht="30" customHeight="1" x14ac:dyDescent="0.45">
      <c r="B242" s="391" t="s">
        <v>767</v>
      </c>
      <c r="C242" s="390"/>
      <c r="D242" s="390"/>
      <c r="E242" s="390"/>
      <c r="F242" s="390"/>
      <c r="G242" s="390"/>
      <c r="H242" s="390"/>
      <c r="I242" s="390"/>
      <c r="J242" s="390"/>
      <c r="K242" s="390"/>
    </row>
    <row r="243" spans="2:11" ht="15" customHeight="1" x14ac:dyDescent="0.3"/>
    <row r="244" spans="2:11" ht="15" customHeight="1" x14ac:dyDescent="0.3"/>
    <row r="245" spans="2:11" ht="15" customHeight="1" x14ac:dyDescent="0.3"/>
    <row r="261" spans="3:4" x14ac:dyDescent="0.3">
      <c r="C261" t="s">
        <v>582</v>
      </c>
    </row>
    <row r="262" spans="3:4" x14ac:dyDescent="0.3">
      <c r="C262" t="s">
        <v>583</v>
      </c>
    </row>
    <row r="263" spans="3:4" x14ac:dyDescent="0.3">
      <c r="C263" t="s">
        <v>584</v>
      </c>
    </row>
    <row r="264" spans="3:4" x14ac:dyDescent="0.3">
      <c r="C264" t="s">
        <v>585</v>
      </c>
    </row>
    <row r="265" spans="3:4" x14ac:dyDescent="0.3">
      <c r="C265" t="s">
        <v>586</v>
      </c>
    </row>
    <row r="267" spans="3:4" x14ac:dyDescent="0.3">
      <c r="C267" t="s">
        <v>838</v>
      </c>
    </row>
    <row r="268" spans="3:4" x14ac:dyDescent="0.3">
      <c r="D268" s="338" t="s">
        <v>1006</v>
      </c>
    </row>
    <row r="269" spans="3:4" x14ac:dyDescent="0.3">
      <c r="D269" s="338" t="s">
        <v>1007</v>
      </c>
    </row>
    <row r="270" spans="3:4" x14ac:dyDescent="0.3">
      <c r="D270" s="338" t="s">
        <v>1008</v>
      </c>
    </row>
    <row r="271" spans="3:4" x14ac:dyDescent="0.3">
      <c r="D271" s="338" t="s">
        <v>1009</v>
      </c>
    </row>
    <row r="272" spans="3:4" x14ac:dyDescent="0.3">
      <c r="D272" s="338" t="s">
        <v>1010</v>
      </c>
    </row>
    <row r="273" spans="2:4" x14ac:dyDescent="0.3">
      <c r="D273" s="13" t="s">
        <v>1021</v>
      </c>
    </row>
    <row r="274" spans="2:4" x14ac:dyDescent="0.3">
      <c r="D274" s="13" t="s">
        <v>1011</v>
      </c>
    </row>
    <row r="276" spans="2:4" x14ac:dyDescent="0.3">
      <c r="C276" t="s">
        <v>1017</v>
      </c>
    </row>
    <row r="277" spans="2:4" ht="15" customHeight="1" x14ac:dyDescent="0.3"/>
    <row r="278" spans="2:4" x14ac:dyDescent="0.3">
      <c r="B278" s="59"/>
      <c r="C278" t="s">
        <v>859</v>
      </c>
    </row>
    <row r="279" spans="2:4" x14ac:dyDescent="0.3">
      <c r="D279" t="s">
        <v>860</v>
      </c>
    </row>
    <row r="280" spans="2:4" x14ac:dyDescent="0.3">
      <c r="D280" t="s">
        <v>861</v>
      </c>
    </row>
    <row r="282" spans="2:4" x14ac:dyDescent="0.3">
      <c r="C282" t="s">
        <v>1012</v>
      </c>
    </row>
    <row r="283" spans="2:4" x14ac:dyDescent="0.3">
      <c r="B283" s="519"/>
      <c r="C283" t="s">
        <v>839</v>
      </c>
    </row>
    <row r="284" spans="2:4" x14ac:dyDescent="0.3">
      <c r="D284" t="s">
        <v>618</v>
      </c>
    </row>
    <row r="285" spans="2:4" x14ac:dyDescent="0.3">
      <c r="D285" t="s">
        <v>619</v>
      </c>
    </row>
    <row r="286" spans="2:4" x14ac:dyDescent="0.3">
      <c r="D286" t="s">
        <v>620</v>
      </c>
    </row>
    <row r="287" spans="2:4" x14ac:dyDescent="0.3">
      <c r="D287" t="s">
        <v>621</v>
      </c>
    </row>
    <row r="288" spans="2:4" x14ac:dyDescent="0.3">
      <c r="D288" t="s">
        <v>622</v>
      </c>
    </row>
    <row r="290" spans="2:11" x14ac:dyDescent="0.3">
      <c r="C290" t="s">
        <v>1022</v>
      </c>
    </row>
    <row r="293" spans="2:11" ht="30" customHeight="1" x14ac:dyDescent="0.45">
      <c r="B293" s="391" t="s">
        <v>587</v>
      </c>
      <c r="C293" s="390"/>
      <c r="D293" s="390"/>
      <c r="E293" s="390"/>
      <c r="F293" s="390"/>
      <c r="G293" s="390"/>
      <c r="H293" s="390"/>
      <c r="I293" s="390"/>
      <c r="J293" s="390"/>
      <c r="K293" s="390"/>
    </row>
    <row r="323" spans="2:11" x14ac:dyDescent="0.3">
      <c r="C323" t="s">
        <v>1097</v>
      </c>
    </row>
    <row r="324" spans="2:11" x14ac:dyDescent="0.3">
      <c r="C324" t="s">
        <v>589</v>
      </c>
    </row>
    <row r="326" spans="2:11" x14ac:dyDescent="0.3">
      <c r="C326" t="s">
        <v>1013</v>
      </c>
    </row>
    <row r="327" spans="2:11" x14ac:dyDescent="0.3">
      <c r="C327" t="s">
        <v>590</v>
      </c>
    </row>
    <row r="329" spans="2:11" ht="30" customHeight="1" x14ac:dyDescent="0.45">
      <c r="B329" s="391" t="s">
        <v>768</v>
      </c>
      <c r="C329" s="390"/>
      <c r="D329" s="390"/>
      <c r="E329" s="390"/>
      <c r="F329" s="390"/>
      <c r="G329" s="390"/>
      <c r="H329" s="390"/>
      <c r="I329" s="390"/>
      <c r="J329" s="390"/>
      <c r="K329" s="390"/>
    </row>
    <row r="330" spans="2:11" x14ac:dyDescent="0.3">
      <c r="B330" s="59"/>
    </row>
    <row r="331" spans="2:11" x14ac:dyDescent="0.3">
      <c r="B331" t="s">
        <v>593</v>
      </c>
    </row>
    <row r="332" spans="2:11" x14ac:dyDescent="0.3">
      <c r="C332" t="s">
        <v>655</v>
      </c>
    </row>
    <row r="333" spans="2:11" x14ac:dyDescent="0.3">
      <c r="C333" t="s">
        <v>656</v>
      </c>
    </row>
    <row r="334" spans="2:11" x14ac:dyDescent="0.3">
      <c r="C334" t="s">
        <v>872</v>
      </c>
    </row>
    <row r="335" spans="2:11" x14ac:dyDescent="0.3">
      <c r="C335" t="s">
        <v>875</v>
      </c>
    </row>
    <row r="336" spans="2:11" x14ac:dyDescent="0.3">
      <c r="D336" t="s">
        <v>876</v>
      </c>
    </row>
    <row r="337" spans="2:11" x14ac:dyDescent="0.3">
      <c r="D337" t="s">
        <v>878</v>
      </c>
    </row>
    <row r="338" spans="2:11" x14ac:dyDescent="0.3">
      <c r="D338" t="s">
        <v>877</v>
      </c>
    </row>
    <row r="339" spans="2:11" x14ac:dyDescent="0.3">
      <c r="C339" t="s">
        <v>657</v>
      </c>
    </row>
    <row r="340" spans="2:11" x14ac:dyDescent="0.3">
      <c r="C340" t="s">
        <v>658</v>
      </c>
    </row>
    <row r="341" spans="2:11" x14ac:dyDescent="0.3">
      <c r="C341" t="s">
        <v>889</v>
      </c>
    </row>
    <row r="342" spans="2:11" x14ac:dyDescent="0.3">
      <c r="D342" t="s">
        <v>890</v>
      </c>
    </row>
    <row r="343" spans="2:11" x14ac:dyDescent="0.3">
      <c r="D343" t="s">
        <v>891</v>
      </c>
    </row>
    <row r="344" spans="2:11" x14ac:dyDescent="0.3">
      <c r="D344" t="s">
        <v>892</v>
      </c>
    </row>
    <row r="345" spans="2:11" x14ac:dyDescent="0.3">
      <c r="D345" t="s">
        <v>893</v>
      </c>
    </row>
    <row r="346" spans="2:11" x14ac:dyDescent="0.3">
      <c r="D346" t="s">
        <v>897</v>
      </c>
      <c r="E346" t="s">
        <v>894</v>
      </c>
    </row>
    <row r="347" spans="2:11" x14ac:dyDescent="0.3">
      <c r="D347" t="s">
        <v>898</v>
      </c>
      <c r="E347" t="s">
        <v>895</v>
      </c>
    </row>
    <row r="348" spans="2:11" x14ac:dyDescent="0.3">
      <c r="D348" t="s">
        <v>899</v>
      </c>
      <c r="E348" t="s">
        <v>896</v>
      </c>
    </row>
    <row r="349" spans="2:11" x14ac:dyDescent="0.3">
      <c r="D349" t="s">
        <v>900</v>
      </c>
    </row>
    <row r="350" spans="2:11" x14ac:dyDescent="0.3">
      <c r="D350" t="s">
        <v>901</v>
      </c>
    </row>
    <row r="352" spans="2:11" ht="30" customHeight="1" x14ac:dyDescent="0.45">
      <c r="B352" s="391" t="s">
        <v>769</v>
      </c>
      <c r="C352" s="390"/>
      <c r="D352" s="390"/>
      <c r="E352" s="390"/>
      <c r="F352" s="390"/>
      <c r="G352" s="390"/>
      <c r="H352" s="390"/>
      <c r="I352" s="390"/>
      <c r="J352" s="390"/>
      <c r="K352" s="390"/>
    </row>
    <row r="353" spans="2:3" x14ac:dyDescent="0.3">
      <c r="B353" s="59"/>
    </row>
    <row r="354" spans="2:3" x14ac:dyDescent="0.3">
      <c r="B354" t="s">
        <v>592</v>
      </c>
    </row>
    <row r="355" spans="2:3" x14ac:dyDescent="0.3">
      <c r="C355" t="s">
        <v>1026</v>
      </c>
    </row>
    <row r="356" spans="2:3" x14ac:dyDescent="0.3">
      <c r="C356" t="s">
        <v>1024</v>
      </c>
    </row>
    <row r="358" spans="2:3" x14ac:dyDescent="0.3">
      <c r="B358" t="s">
        <v>912</v>
      </c>
    </row>
    <row r="359" spans="2:3" x14ac:dyDescent="0.3">
      <c r="B359" t="s">
        <v>923</v>
      </c>
    </row>
    <row r="360" spans="2:3" x14ac:dyDescent="0.3">
      <c r="C360" t="s">
        <v>924</v>
      </c>
    </row>
    <row r="361" spans="2:3" x14ac:dyDescent="0.3">
      <c r="C361" t="s">
        <v>913</v>
      </c>
    </row>
    <row r="362" spans="2:3" x14ac:dyDescent="0.3">
      <c r="B362" t="s">
        <v>925</v>
      </c>
    </row>
    <row r="363" spans="2:3" x14ac:dyDescent="0.3">
      <c r="C363" t="s">
        <v>914</v>
      </c>
    </row>
    <row r="364" spans="2:3" x14ac:dyDescent="0.3">
      <c r="C364" t="s">
        <v>915</v>
      </c>
    </row>
    <row r="365" spans="2:3" x14ac:dyDescent="0.3">
      <c r="B365" t="s">
        <v>926</v>
      </c>
    </row>
    <row r="366" spans="2:3" x14ac:dyDescent="0.3">
      <c r="C366" t="s">
        <v>916</v>
      </c>
    </row>
    <row r="367" spans="2:3" x14ac:dyDescent="0.3">
      <c r="C367" t="s">
        <v>1025</v>
      </c>
    </row>
    <row r="368" spans="2:3" x14ac:dyDescent="0.3">
      <c r="C368" t="s">
        <v>917</v>
      </c>
    </row>
    <row r="369" spans="2:11" x14ac:dyDescent="0.3">
      <c r="C369" t="s">
        <v>927</v>
      </c>
    </row>
    <row r="371" spans="2:11" ht="30" customHeight="1" x14ac:dyDescent="0.45">
      <c r="B371" s="391" t="s">
        <v>1059</v>
      </c>
      <c r="C371" s="390"/>
      <c r="D371" s="390"/>
      <c r="E371" s="390"/>
      <c r="F371" s="390"/>
      <c r="G371" s="390"/>
      <c r="H371" s="390"/>
      <c r="I371" s="390"/>
      <c r="J371" s="390"/>
      <c r="K371" s="390"/>
    </row>
    <row r="372" spans="2:11" x14ac:dyDescent="0.3">
      <c r="B372" s="59"/>
    </row>
    <row r="373" spans="2:11" x14ac:dyDescent="0.3">
      <c r="B373" t="s">
        <v>1064</v>
      </c>
    </row>
    <row r="374" spans="2:11" x14ac:dyDescent="0.3">
      <c r="C374" t="s">
        <v>1065</v>
      </c>
    </row>
    <row r="375" spans="2:11" x14ac:dyDescent="0.3">
      <c r="C375" t="s">
        <v>1063</v>
      </c>
    </row>
    <row r="376" spans="2:11" x14ac:dyDescent="0.3">
      <c r="C376" t="s">
        <v>1066</v>
      </c>
    </row>
    <row r="377" spans="2:11" x14ac:dyDescent="0.3">
      <c r="C377" t="s">
        <v>1062</v>
      </c>
    </row>
    <row r="378" spans="2:11" x14ac:dyDescent="0.3">
      <c r="C378" t="s">
        <v>1061</v>
      </c>
    </row>
    <row r="379" spans="2:11" x14ac:dyDescent="0.3">
      <c r="C379" t="s">
        <v>1125</v>
      </c>
    </row>
    <row r="381" spans="2:11" x14ac:dyDescent="0.3">
      <c r="B381" t="s">
        <v>1127</v>
      </c>
    </row>
    <row r="382" spans="2:11" x14ac:dyDescent="0.3">
      <c r="C382" t="s">
        <v>1129</v>
      </c>
    </row>
    <row r="383" spans="2:11" x14ac:dyDescent="0.3">
      <c r="C383" t="s">
        <v>1130</v>
      </c>
    </row>
    <row r="384" spans="2:11" x14ac:dyDescent="0.3">
      <c r="C384" t="s">
        <v>1128</v>
      </c>
    </row>
    <row r="386" spans="2:11" ht="30" customHeight="1" x14ac:dyDescent="0.45">
      <c r="B386" s="391" t="s">
        <v>1060</v>
      </c>
      <c r="C386" s="390"/>
      <c r="D386" s="390"/>
      <c r="E386" s="390"/>
      <c r="F386" s="390"/>
      <c r="G386" s="390"/>
      <c r="H386" s="390"/>
      <c r="I386" s="390"/>
      <c r="J386" s="390"/>
      <c r="K386" s="390"/>
    </row>
    <row r="387" spans="2:11" x14ac:dyDescent="0.3">
      <c r="B387" s="59"/>
    </row>
    <row r="388" spans="2:11" x14ac:dyDescent="0.3">
      <c r="C388" s="4" t="s">
        <v>782</v>
      </c>
    </row>
    <row r="389" spans="2:11" x14ac:dyDescent="0.3">
      <c r="D389" s="16"/>
    </row>
    <row r="390" spans="2:11" x14ac:dyDescent="0.3">
      <c r="D390" t="s">
        <v>779</v>
      </c>
    </row>
    <row r="391" spans="2:11" x14ac:dyDescent="0.3">
      <c r="D391" t="s">
        <v>780</v>
      </c>
    </row>
    <row r="392" spans="2:11" x14ac:dyDescent="0.3">
      <c r="D392" s="16" t="s">
        <v>781</v>
      </c>
    </row>
  </sheetData>
  <sheetProtection password="EDB7" sheet="1" objects="1" scenarios="1"/>
  <hyperlinks>
    <hyperlink ref="D392" r:id="rId1" display="mailto:us-hvacappeng@abb.com" xr:uid="{00000000-0004-0000-0000-000000000000}"/>
  </hyperlinks>
  <pageMargins left="0.7" right="0.7" top="0.75" bottom="0.75" header="0.3" footer="0.3"/>
  <pageSetup scale="77" fitToHeight="0" orientation="portrait" r:id="rId2"/>
  <rowBreaks count="6" manualBreakCount="6">
    <brk id="50" max="10" man="1"/>
    <brk id="88" max="10" man="1"/>
    <brk id="172" max="10" man="1"/>
    <brk id="225" max="10" man="1"/>
    <brk id="276" max="10" man="1"/>
    <brk id="328" max="10" man="1"/>
  </rowBreaks>
  <drawing r:id="rId3"/>
  <legacyDrawing r:id="rId4"/>
  <oleObjects>
    <mc:AlternateContent xmlns:mc="http://schemas.openxmlformats.org/markup-compatibility/2006">
      <mc:Choice Requires="x14">
        <oleObject progId="Visio.Drawing.11" shapeId="1029" r:id="rId5">
          <objectPr defaultSize="0" r:id="rId6">
            <anchor moveWithCells="1">
              <from>
                <xdr:col>2</xdr:col>
                <xdr:colOff>0</xdr:colOff>
                <xdr:row>14</xdr:row>
                <xdr:rowOff>0</xdr:rowOff>
              </from>
              <to>
                <xdr:col>9</xdr:col>
                <xdr:colOff>381000</xdr:colOff>
                <xdr:row>26</xdr:row>
                <xdr:rowOff>182880</xdr:rowOff>
              </to>
            </anchor>
          </objectPr>
        </oleObject>
      </mc:Choice>
      <mc:Fallback>
        <oleObject progId="Visio.Drawing.11" shapeId="1029" r:id="rId5"/>
      </mc:Fallback>
    </mc:AlternateContent>
    <mc:AlternateContent xmlns:mc="http://schemas.openxmlformats.org/markup-compatibility/2006">
      <mc:Choice Requires="x14">
        <oleObject progId="Visio.Drawing.11" shapeId="1030" r:id="rId7">
          <objectPr defaultSize="0" r:id="rId8">
            <anchor moveWithCells="1">
              <from>
                <xdr:col>2</xdr:col>
                <xdr:colOff>0</xdr:colOff>
                <xdr:row>52</xdr:row>
                <xdr:rowOff>0</xdr:rowOff>
              </from>
              <to>
                <xdr:col>6</xdr:col>
                <xdr:colOff>388620</xdr:colOff>
                <xdr:row>64</xdr:row>
                <xdr:rowOff>182880</xdr:rowOff>
              </to>
            </anchor>
          </objectPr>
        </oleObject>
      </mc:Choice>
      <mc:Fallback>
        <oleObject progId="Visio.Drawing.11" shapeId="1030" r:id="rId7"/>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X260"/>
  <sheetViews>
    <sheetView topLeftCell="A223" workbookViewId="0">
      <selection activeCell="M16" sqref="M16"/>
    </sheetView>
  </sheetViews>
  <sheetFormatPr defaultRowHeight="14.4" x14ac:dyDescent="0.3"/>
  <cols>
    <col min="2" max="2" width="2.6640625" customWidth="1"/>
    <col min="4" max="4" width="20.88671875" bestFit="1" customWidth="1"/>
    <col min="5" max="5" width="9.44140625" bestFit="1" customWidth="1"/>
    <col min="9" max="9" width="9.109375" customWidth="1"/>
    <col min="13" max="14" width="9.33203125" bestFit="1" customWidth="1"/>
    <col min="15" max="15" width="9.5546875" bestFit="1" customWidth="1"/>
    <col min="16" max="16" width="9.33203125" bestFit="1" customWidth="1"/>
    <col min="18" max="21" width="9.33203125" bestFit="1" customWidth="1"/>
    <col min="23" max="24" width="9.33203125" bestFit="1" customWidth="1"/>
  </cols>
  <sheetData>
    <row r="1" spans="1:14" ht="18" x14ac:dyDescent="0.35">
      <c r="A1" s="3" t="s">
        <v>484</v>
      </c>
      <c r="B1" s="3"/>
      <c r="D1" s="327" t="s">
        <v>512</v>
      </c>
      <c r="J1" s="330" t="s">
        <v>784</v>
      </c>
      <c r="K1" s="451" t="str">
        <f>A260</f>
        <v>220705P</v>
      </c>
      <c r="M1" s="1" t="s">
        <v>1004</v>
      </c>
      <c r="N1" t="s">
        <v>956</v>
      </c>
    </row>
    <row r="3" spans="1:14" x14ac:dyDescent="0.3">
      <c r="A3" t="s">
        <v>485</v>
      </c>
      <c r="C3" t="s">
        <v>484</v>
      </c>
      <c r="J3" s="9"/>
    </row>
    <row r="4" spans="1:14" x14ac:dyDescent="0.3">
      <c r="A4">
        <v>170503</v>
      </c>
      <c r="C4" t="s">
        <v>492</v>
      </c>
    </row>
    <row r="5" spans="1:14" x14ac:dyDescent="0.3">
      <c r="C5" t="s">
        <v>491</v>
      </c>
    </row>
    <row r="6" spans="1:14" x14ac:dyDescent="0.3">
      <c r="C6" t="s">
        <v>490</v>
      </c>
    </row>
    <row r="7" spans="1:14" x14ac:dyDescent="0.3">
      <c r="C7" t="s">
        <v>486</v>
      </c>
    </row>
    <row r="8" spans="1:14" x14ac:dyDescent="0.3">
      <c r="C8" t="s">
        <v>487</v>
      </c>
    </row>
    <row r="10" spans="1:14" x14ac:dyDescent="0.3">
      <c r="C10" t="s">
        <v>488</v>
      </c>
    </row>
    <row r="11" spans="1:14" x14ac:dyDescent="0.3">
      <c r="C11" t="s">
        <v>493</v>
      </c>
    </row>
    <row r="13" spans="1:14" ht="15" thickBot="1" x14ac:dyDescent="0.35">
      <c r="C13" t="s">
        <v>489</v>
      </c>
    </row>
    <row r="14" spans="1:14" ht="15" thickBot="1" x14ac:dyDescent="0.35">
      <c r="D14" s="205" t="s">
        <v>186</v>
      </c>
      <c r="E14" s="145" t="s">
        <v>40</v>
      </c>
    </row>
    <row r="15" spans="1:14" ht="15" thickBot="1" x14ac:dyDescent="0.35">
      <c r="D15" s="207" t="s">
        <v>44</v>
      </c>
      <c r="E15" s="146">
        <v>13800</v>
      </c>
    </row>
    <row r="16" spans="1:14" ht="15" thickBot="1" x14ac:dyDescent="0.35">
      <c r="D16" s="208" t="s">
        <v>42</v>
      </c>
      <c r="E16" s="147">
        <v>400</v>
      </c>
    </row>
    <row r="17" spans="4:7" ht="15" thickBot="1" x14ac:dyDescent="0.35">
      <c r="D17" s="206" t="s">
        <v>45</v>
      </c>
      <c r="E17" s="148"/>
    </row>
    <row r="18" spans="4:7" ht="15" thickBot="1" x14ac:dyDescent="0.35">
      <c r="D18" s="207" t="s">
        <v>243</v>
      </c>
      <c r="E18" s="149">
        <v>2000</v>
      </c>
    </row>
    <row r="19" spans="4:7" ht="15" thickBot="1" x14ac:dyDescent="0.35">
      <c r="D19" s="207" t="s">
        <v>239</v>
      </c>
      <c r="E19" s="146">
        <v>480</v>
      </c>
    </row>
    <row r="20" spans="4:7" ht="15" thickBot="1" x14ac:dyDescent="0.35">
      <c r="D20" s="207" t="s">
        <v>240</v>
      </c>
      <c r="E20" s="146">
        <v>1.7</v>
      </c>
    </row>
    <row r="21" spans="4:7" ht="15" thickBot="1" x14ac:dyDescent="0.35">
      <c r="D21" s="208" t="s">
        <v>241</v>
      </c>
      <c r="E21" s="147">
        <v>0</v>
      </c>
    </row>
    <row r="22" spans="4:7" ht="15" thickBot="1" x14ac:dyDescent="0.35">
      <c r="D22" s="208" t="s">
        <v>220</v>
      </c>
      <c r="E22" s="150" t="s">
        <v>190</v>
      </c>
    </row>
    <row r="23" spans="4:7" ht="15" thickBot="1" x14ac:dyDescent="0.35"/>
    <row r="24" spans="4:7" ht="15" thickBot="1" x14ac:dyDescent="0.35">
      <c r="D24" s="317" t="s">
        <v>231</v>
      </c>
      <c r="E24" s="317" t="s">
        <v>232</v>
      </c>
      <c r="F24" s="317" t="s">
        <v>233</v>
      </c>
      <c r="G24" s="317" t="s">
        <v>48</v>
      </c>
    </row>
    <row r="25" spans="4:7" ht="15" thickBot="1" x14ac:dyDescent="0.35">
      <c r="D25" s="132" t="s">
        <v>222</v>
      </c>
      <c r="E25" s="136" t="s">
        <v>317</v>
      </c>
      <c r="F25" s="138">
        <v>1000</v>
      </c>
      <c r="G25" s="139">
        <v>1</v>
      </c>
    </row>
    <row r="27" spans="4:7" x14ac:dyDescent="0.3">
      <c r="D27" s="78" t="s">
        <v>140</v>
      </c>
      <c r="E27" s="12"/>
    </row>
    <row r="28" spans="4:7" x14ac:dyDescent="0.3">
      <c r="D28" s="93" t="s">
        <v>30</v>
      </c>
      <c r="E28" s="97">
        <v>0.87</v>
      </c>
    </row>
    <row r="29" spans="4:7" x14ac:dyDescent="0.3">
      <c r="D29" s="12" t="s">
        <v>15</v>
      </c>
      <c r="E29" s="88">
        <v>0.93</v>
      </c>
    </row>
    <row r="30" spans="4:7" x14ac:dyDescent="0.3">
      <c r="D30" s="12" t="s">
        <v>16</v>
      </c>
      <c r="E30" s="88">
        <v>0.97</v>
      </c>
    </row>
    <row r="31" spans="4:7" x14ac:dyDescent="0.3">
      <c r="D31" s="12" t="s">
        <v>102</v>
      </c>
      <c r="E31" s="86">
        <v>0.435</v>
      </c>
    </row>
    <row r="32" spans="4:7" x14ac:dyDescent="0.3">
      <c r="D32" s="12" t="s">
        <v>399</v>
      </c>
      <c r="E32" s="86">
        <v>-35</v>
      </c>
    </row>
    <row r="33" spans="1:5" x14ac:dyDescent="0.3">
      <c r="D33" s="12" t="s">
        <v>398</v>
      </c>
      <c r="E33" s="86">
        <v>-40</v>
      </c>
    </row>
    <row r="34" spans="1:5" x14ac:dyDescent="0.3">
      <c r="D34" s="12"/>
      <c r="E34" s="87"/>
    </row>
    <row r="35" spans="1:5" x14ac:dyDescent="0.3">
      <c r="D35" s="12" t="s">
        <v>483</v>
      </c>
      <c r="E35" s="88">
        <v>1</v>
      </c>
    </row>
    <row r="36" spans="1:5" x14ac:dyDescent="0.3">
      <c r="D36" s="12" t="s">
        <v>22</v>
      </c>
      <c r="E36" s="315">
        <v>0</v>
      </c>
    </row>
    <row r="38" spans="1:5" x14ac:dyDescent="0.3">
      <c r="D38" t="s">
        <v>508</v>
      </c>
    </row>
    <row r="40" spans="1:5" x14ac:dyDescent="0.3">
      <c r="A40">
        <v>170628</v>
      </c>
      <c r="C40" t="s">
        <v>494</v>
      </c>
    </row>
    <row r="41" spans="1:5" x14ac:dyDescent="0.3">
      <c r="C41" t="s">
        <v>495</v>
      </c>
    </row>
    <row r="42" spans="1:5" x14ac:dyDescent="0.3">
      <c r="C42" t="s">
        <v>496</v>
      </c>
    </row>
    <row r="43" spans="1:5" x14ac:dyDescent="0.3">
      <c r="C43" t="s">
        <v>498</v>
      </c>
    </row>
    <row r="44" spans="1:5" x14ac:dyDescent="0.3">
      <c r="C44" t="s">
        <v>499</v>
      </c>
    </row>
    <row r="45" spans="1:5" x14ac:dyDescent="0.3">
      <c r="C45" t="s">
        <v>502</v>
      </c>
    </row>
    <row r="46" spans="1:5" x14ac:dyDescent="0.3">
      <c r="C46" t="s">
        <v>504</v>
      </c>
    </row>
    <row r="47" spans="1:5" x14ac:dyDescent="0.3">
      <c r="C47" t="s">
        <v>506</v>
      </c>
    </row>
    <row r="48" spans="1:5" x14ac:dyDescent="0.3">
      <c r="C48" t="s">
        <v>507</v>
      </c>
    </row>
    <row r="50" spans="1:24" x14ac:dyDescent="0.3">
      <c r="A50">
        <v>170706</v>
      </c>
      <c r="C50" t="s">
        <v>509</v>
      </c>
      <c r="D50" s="102"/>
      <c r="E50" s="59"/>
      <c r="F50" s="59"/>
    </row>
    <row r="51" spans="1:24" x14ac:dyDescent="0.3">
      <c r="C51" t="s">
        <v>511</v>
      </c>
      <c r="D51" s="221"/>
      <c r="E51" s="224"/>
      <c r="F51" s="221"/>
    </row>
    <row r="52" spans="1:24" x14ac:dyDescent="0.3">
      <c r="D52" s="59"/>
      <c r="E52" s="222"/>
      <c r="F52" s="59"/>
    </row>
    <row r="53" spans="1:24" x14ac:dyDescent="0.3">
      <c r="C53" t="s">
        <v>552</v>
      </c>
      <c r="D53" s="59"/>
      <c r="E53" s="222"/>
      <c r="F53" s="59"/>
    </row>
    <row r="54" spans="1:24" x14ac:dyDescent="0.3">
      <c r="C54" s="328" t="s">
        <v>517</v>
      </c>
      <c r="D54" s="59"/>
      <c r="E54" s="103"/>
      <c r="F54" s="59"/>
    </row>
    <row r="55" spans="1:24" x14ac:dyDescent="0.3">
      <c r="B55" s="329"/>
      <c r="C55" s="330" t="s">
        <v>518</v>
      </c>
      <c r="D55" s="59" t="s">
        <v>519</v>
      </c>
      <c r="E55" s="103"/>
      <c r="F55" s="59"/>
    </row>
    <row r="56" spans="1:24" x14ac:dyDescent="0.3">
      <c r="B56" s="329"/>
      <c r="D56" s="330" t="s">
        <v>520</v>
      </c>
      <c r="E56" s="59" t="s">
        <v>627</v>
      </c>
      <c r="F56" s="59"/>
    </row>
    <row r="57" spans="1:24" x14ac:dyDescent="0.3">
      <c r="B57" s="329"/>
      <c r="D57" s="330" t="s">
        <v>521</v>
      </c>
      <c r="E57" s="59" t="s">
        <v>628</v>
      </c>
      <c r="F57" s="59"/>
    </row>
    <row r="58" spans="1:24" x14ac:dyDescent="0.3">
      <c r="B58" s="329"/>
      <c r="D58" s="330" t="s">
        <v>522</v>
      </c>
      <c r="E58" s="59" t="s">
        <v>629</v>
      </c>
      <c r="F58" s="59"/>
    </row>
    <row r="59" spans="1:24" x14ac:dyDescent="0.3">
      <c r="B59" s="329"/>
      <c r="D59" s="330" t="s">
        <v>523</v>
      </c>
      <c r="E59" s="59" t="s">
        <v>630</v>
      </c>
      <c r="F59" s="59"/>
    </row>
    <row r="60" spans="1:24" x14ac:dyDescent="0.3">
      <c r="B60" s="329"/>
      <c r="C60" s="330" t="s">
        <v>524</v>
      </c>
      <c r="D60" s="59" t="s">
        <v>626</v>
      </c>
      <c r="E60" s="100"/>
      <c r="F60" s="59"/>
    </row>
    <row r="61" spans="1:24" x14ac:dyDescent="0.3">
      <c r="B61" s="329"/>
      <c r="C61" s="330" t="s">
        <v>525</v>
      </c>
      <c r="D61" s="59" t="s">
        <v>526</v>
      </c>
      <c r="E61" s="326"/>
      <c r="F61" s="59"/>
    </row>
    <row r="62" spans="1:24" x14ac:dyDescent="0.3">
      <c r="B62" s="329"/>
      <c r="C62" s="330" t="s">
        <v>527</v>
      </c>
      <c r="D62" t="s">
        <v>528</v>
      </c>
    </row>
    <row r="63" spans="1:24" x14ac:dyDescent="0.3">
      <c r="B63" s="329"/>
      <c r="C63" s="330" t="s">
        <v>529</v>
      </c>
      <c r="D63" t="s">
        <v>547</v>
      </c>
    </row>
    <row r="64" spans="1:24" x14ac:dyDescent="0.3">
      <c r="B64" s="329"/>
      <c r="C64" s="330" t="s">
        <v>530</v>
      </c>
      <c r="D64" t="s">
        <v>548</v>
      </c>
      <c r="M64" s="1"/>
      <c r="N64" s="1"/>
      <c r="O64" s="1"/>
      <c r="P64" s="1"/>
      <c r="Q64" s="1"/>
      <c r="R64" s="1"/>
      <c r="S64" s="1"/>
      <c r="T64" s="1"/>
      <c r="U64" s="1"/>
      <c r="V64" s="1"/>
      <c r="W64" s="1"/>
      <c r="X64" s="1"/>
    </row>
    <row r="65" spans="2:24" x14ac:dyDescent="0.3">
      <c r="B65" s="329"/>
      <c r="C65" s="330" t="s">
        <v>532</v>
      </c>
      <c r="D65" t="s">
        <v>549</v>
      </c>
      <c r="M65" s="1"/>
      <c r="N65" s="1"/>
      <c r="O65" s="1"/>
      <c r="P65" s="1"/>
      <c r="Q65" s="1"/>
      <c r="R65" s="1"/>
      <c r="S65" s="1"/>
      <c r="T65" s="1"/>
      <c r="U65" s="1"/>
      <c r="V65" s="1"/>
      <c r="W65" s="1"/>
      <c r="X65" s="1"/>
    </row>
    <row r="66" spans="2:24" x14ac:dyDescent="0.3">
      <c r="B66" s="329"/>
      <c r="C66" s="330" t="s">
        <v>533</v>
      </c>
      <c r="D66" t="s">
        <v>550</v>
      </c>
    </row>
    <row r="67" spans="2:24" x14ac:dyDescent="0.3">
      <c r="B67" s="329"/>
      <c r="C67" s="330" t="s">
        <v>534</v>
      </c>
      <c r="D67" t="s">
        <v>551</v>
      </c>
      <c r="M67" s="8"/>
      <c r="N67" s="8"/>
      <c r="O67" s="8"/>
      <c r="P67" s="8"/>
      <c r="Q67" s="8"/>
      <c r="R67" s="8"/>
      <c r="S67" s="8"/>
      <c r="T67" s="8"/>
      <c r="U67" s="8"/>
      <c r="V67" s="8"/>
      <c r="W67" s="8"/>
      <c r="X67" s="8"/>
    </row>
    <row r="68" spans="2:24" x14ac:dyDescent="0.3">
      <c r="B68" s="329"/>
      <c r="C68" s="330" t="s">
        <v>535</v>
      </c>
      <c r="D68" t="s">
        <v>631</v>
      </c>
    </row>
    <row r="69" spans="2:24" x14ac:dyDescent="0.3">
      <c r="B69" s="329"/>
      <c r="C69" s="330" t="s">
        <v>536</v>
      </c>
      <c r="D69" t="s">
        <v>632</v>
      </c>
    </row>
    <row r="70" spans="2:24" x14ac:dyDescent="0.3">
      <c r="B70" s="2"/>
      <c r="C70" s="330" t="s">
        <v>537</v>
      </c>
      <c r="D70" t="s">
        <v>539</v>
      </c>
    </row>
    <row r="71" spans="2:24" x14ac:dyDescent="0.3">
      <c r="B71" s="329"/>
      <c r="D71" s="330" t="s">
        <v>520</v>
      </c>
      <c r="E71" t="s">
        <v>636</v>
      </c>
    </row>
    <row r="72" spans="2:24" x14ac:dyDescent="0.3">
      <c r="B72" s="329"/>
      <c r="E72" s="331" t="s">
        <v>540</v>
      </c>
      <c r="F72" t="s">
        <v>637</v>
      </c>
    </row>
    <row r="73" spans="2:24" x14ac:dyDescent="0.3">
      <c r="B73" s="329"/>
      <c r="E73" s="331" t="s">
        <v>541</v>
      </c>
      <c r="F73" t="s">
        <v>638</v>
      </c>
      <c r="L73" s="8"/>
    </row>
    <row r="74" spans="2:24" x14ac:dyDescent="0.3">
      <c r="B74" s="329"/>
      <c r="E74" s="331" t="s">
        <v>542</v>
      </c>
      <c r="F74" t="s">
        <v>639</v>
      </c>
    </row>
    <row r="75" spans="2:24" x14ac:dyDescent="0.3">
      <c r="B75" s="329"/>
      <c r="E75" s="331" t="s">
        <v>543</v>
      </c>
      <c r="F75" t="s">
        <v>640</v>
      </c>
    </row>
    <row r="76" spans="2:24" x14ac:dyDescent="0.3">
      <c r="B76" s="329"/>
      <c r="E76" s="331" t="s">
        <v>544</v>
      </c>
      <c r="F76" t="s">
        <v>641</v>
      </c>
    </row>
    <row r="77" spans="2:24" x14ac:dyDescent="0.3">
      <c r="B77" s="329"/>
      <c r="E77" s="331" t="s">
        <v>545</v>
      </c>
      <c r="F77" t="s">
        <v>633</v>
      </c>
    </row>
    <row r="78" spans="2:24" x14ac:dyDescent="0.3">
      <c r="B78" s="329"/>
      <c r="D78" s="330" t="s">
        <v>521</v>
      </c>
      <c r="E78" t="s">
        <v>634</v>
      </c>
    </row>
    <row r="79" spans="2:24" x14ac:dyDescent="0.3">
      <c r="B79" s="329"/>
      <c r="E79" s="331" t="s">
        <v>540</v>
      </c>
      <c r="F79" t="s">
        <v>635</v>
      </c>
      <c r="L79" s="57"/>
    </row>
    <row r="80" spans="2:24" x14ac:dyDescent="0.3">
      <c r="B80" s="329"/>
      <c r="D80" s="330" t="s">
        <v>522</v>
      </c>
      <c r="E80" t="s">
        <v>546</v>
      </c>
      <c r="L80" s="57"/>
    </row>
    <row r="81" spans="1:12" x14ac:dyDescent="0.3">
      <c r="B81" s="329"/>
      <c r="E81" s="331" t="s">
        <v>540</v>
      </c>
      <c r="F81" t="s">
        <v>642</v>
      </c>
    </row>
    <row r="82" spans="1:12" x14ac:dyDescent="0.3">
      <c r="D82" s="330" t="s">
        <v>523</v>
      </c>
      <c r="E82" t="s">
        <v>554</v>
      </c>
    </row>
    <row r="83" spans="1:12" x14ac:dyDescent="0.3">
      <c r="B83" s="329"/>
      <c r="C83" s="330" t="s">
        <v>538</v>
      </c>
      <c r="D83" t="s">
        <v>643</v>
      </c>
      <c r="L83" s="324"/>
    </row>
    <row r="84" spans="1:12" x14ac:dyDescent="0.3">
      <c r="B84" s="329"/>
      <c r="C84" s="1" t="s">
        <v>553</v>
      </c>
      <c r="D84" s="332" t="s">
        <v>644</v>
      </c>
      <c r="L84" s="325"/>
    </row>
    <row r="85" spans="1:12" x14ac:dyDescent="0.3">
      <c r="B85" s="329"/>
      <c r="C85" s="1" t="s">
        <v>555</v>
      </c>
      <c r="D85" t="s">
        <v>645</v>
      </c>
    </row>
    <row r="86" spans="1:12" x14ac:dyDescent="0.3">
      <c r="B86" s="2"/>
      <c r="C86" s="1"/>
    </row>
    <row r="87" spans="1:12" x14ac:dyDescent="0.3">
      <c r="B87" s="356"/>
      <c r="C87" s="330" t="s">
        <v>530</v>
      </c>
      <c r="D87" t="s">
        <v>531</v>
      </c>
      <c r="J87" t="s">
        <v>614</v>
      </c>
    </row>
    <row r="88" spans="1:12" x14ac:dyDescent="0.3">
      <c r="B88" s="2"/>
      <c r="C88" s="330"/>
    </row>
    <row r="89" spans="1:12" x14ac:dyDescent="0.3">
      <c r="A89">
        <v>170712</v>
      </c>
      <c r="C89" s="352" t="s">
        <v>591</v>
      </c>
    </row>
    <row r="90" spans="1:12" x14ac:dyDescent="0.3">
      <c r="C90" s="352"/>
    </row>
    <row r="91" spans="1:12" x14ac:dyDescent="0.3">
      <c r="A91">
        <v>170713</v>
      </c>
      <c r="C91" s="352" t="s">
        <v>609</v>
      </c>
    </row>
    <row r="92" spans="1:12" x14ac:dyDescent="0.3">
      <c r="C92" s="352"/>
    </row>
    <row r="93" spans="1:12" x14ac:dyDescent="0.3">
      <c r="C93" s="352" t="s">
        <v>611</v>
      </c>
    </row>
    <row r="94" spans="1:12" x14ac:dyDescent="0.3">
      <c r="C94" s="352"/>
      <c r="D94" t="s">
        <v>610</v>
      </c>
    </row>
    <row r="95" spans="1:12" x14ac:dyDescent="0.3">
      <c r="C95" s="352"/>
    </row>
    <row r="96" spans="1:12" x14ac:dyDescent="0.3">
      <c r="C96" s="352"/>
    </row>
    <row r="97" spans="3:10" x14ac:dyDescent="0.3">
      <c r="C97" s="352"/>
      <c r="I97" t="s">
        <v>712</v>
      </c>
    </row>
    <row r="98" spans="3:10" x14ac:dyDescent="0.3">
      <c r="C98" s="352"/>
      <c r="J98" t="s">
        <v>713</v>
      </c>
    </row>
    <row r="99" spans="3:10" x14ac:dyDescent="0.3">
      <c r="C99" s="352"/>
      <c r="J99" t="s">
        <v>714</v>
      </c>
    </row>
    <row r="100" spans="3:10" x14ac:dyDescent="0.3">
      <c r="C100" s="352"/>
      <c r="J100" t="s">
        <v>715</v>
      </c>
    </row>
    <row r="101" spans="3:10" x14ac:dyDescent="0.3">
      <c r="C101" s="352"/>
      <c r="J101" t="s">
        <v>716</v>
      </c>
    </row>
    <row r="102" spans="3:10" x14ac:dyDescent="0.3">
      <c r="C102" s="352"/>
      <c r="J102" t="s">
        <v>717</v>
      </c>
    </row>
    <row r="103" spans="3:10" x14ac:dyDescent="0.3">
      <c r="C103" s="352"/>
      <c r="J103" t="s">
        <v>718</v>
      </c>
    </row>
    <row r="104" spans="3:10" x14ac:dyDescent="0.3">
      <c r="C104" s="352"/>
      <c r="J104" t="s">
        <v>966</v>
      </c>
    </row>
    <row r="105" spans="3:10" x14ac:dyDescent="0.3">
      <c r="C105" s="352"/>
    </row>
    <row r="106" spans="3:10" x14ac:dyDescent="0.3">
      <c r="C106" s="352"/>
    </row>
    <row r="107" spans="3:10" x14ac:dyDescent="0.3">
      <c r="C107" s="352"/>
    </row>
    <row r="109" spans="3:10" x14ac:dyDescent="0.3">
      <c r="D109" t="s">
        <v>612</v>
      </c>
    </row>
    <row r="110" spans="3:10" x14ac:dyDescent="0.3">
      <c r="D110" t="s">
        <v>615</v>
      </c>
    </row>
    <row r="112" spans="3:10" x14ac:dyDescent="0.3">
      <c r="C112" t="s">
        <v>616</v>
      </c>
    </row>
    <row r="113" spans="1:4" x14ac:dyDescent="0.3">
      <c r="C113" t="s">
        <v>617</v>
      </c>
    </row>
    <row r="114" spans="1:4" x14ac:dyDescent="0.3">
      <c r="C114" t="s">
        <v>623</v>
      </c>
    </row>
    <row r="115" spans="1:4" x14ac:dyDescent="0.3">
      <c r="C115" t="s">
        <v>624</v>
      </c>
    </row>
    <row r="116" spans="1:4" x14ac:dyDescent="0.3">
      <c r="C116" t="s">
        <v>625</v>
      </c>
    </row>
    <row r="118" spans="1:4" x14ac:dyDescent="0.3">
      <c r="A118" s="19" t="s">
        <v>649</v>
      </c>
      <c r="C118" t="s">
        <v>650</v>
      </c>
    </row>
    <row r="119" spans="1:4" x14ac:dyDescent="0.3">
      <c r="C119" t="s">
        <v>662</v>
      </c>
    </row>
    <row r="120" spans="1:4" x14ac:dyDescent="0.3">
      <c r="C120" t="s">
        <v>663</v>
      </c>
    </row>
    <row r="121" spans="1:4" x14ac:dyDescent="0.3">
      <c r="C121" t="s">
        <v>664</v>
      </c>
    </row>
    <row r="123" spans="1:4" x14ac:dyDescent="0.3">
      <c r="A123" s="19" t="s">
        <v>708</v>
      </c>
      <c r="C123" t="s">
        <v>700</v>
      </c>
    </row>
    <row r="124" spans="1:4" x14ac:dyDescent="0.3">
      <c r="D124" t="s">
        <v>701</v>
      </c>
    </row>
    <row r="125" spans="1:4" x14ac:dyDescent="0.3">
      <c r="C125" t="s">
        <v>709</v>
      </c>
    </row>
    <row r="127" spans="1:4" x14ac:dyDescent="0.3">
      <c r="A127" s="19" t="s">
        <v>710</v>
      </c>
      <c r="C127" t="s">
        <v>721</v>
      </c>
    </row>
    <row r="128" spans="1:4" x14ac:dyDescent="0.3">
      <c r="C128" t="s">
        <v>711</v>
      </c>
    </row>
    <row r="129" spans="1:4" x14ac:dyDescent="0.3">
      <c r="C129" t="s">
        <v>783</v>
      </c>
    </row>
    <row r="130" spans="1:4" x14ac:dyDescent="0.3">
      <c r="C130" t="s">
        <v>722</v>
      </c>
    </row>
    <row r="132" spans="1:4" x14ac:dyDescent="0.3">
      <c r="A132" t="s">
        <v>785</v>
      </c>
      <c r="C132" t="s">
        <v>787</v>
      </c>
    </row>
    <row r="133" spans="1:4" x14ac:dyDescent="0.3">
      <c r="C133" t="s">
        <v>791</v>
      </c>
    </row>
    <row r="134" spans="1:4" x14ac:dyDescent="0.3">
      <c r="C134" t="s">
        <v>790</v>
      </c>
    </row>
    <row r="135" spans="1:4" x14ac:dyDescent="0.3">
      <c r="C135" t="s">
        <v>789</v>
      </c>
    </row>
    <row r="136" spans="1:4" x14ac:dyDescent="0.3">
      <c r="C136" t="s">
        <v>786</v>
      </c>
    </row>
    <row r="137" spans="1:4" x14ac:dyDescent="0.3">
      <c r="C137" t="s">
        <v>788</v>
      </c>
    </row>
    <row r="139" spans="1:4" x14ac:dyDescent="0.3">
      <c r="A139" t="s">
        <v>792</v>
      </c>
      <c r="C139" t="s">
        <v>793</v>
      </c>
    </row>
    <row r="140" spans="1:4" x14ac:dyDescent="0.3">
      <c r="D140" t="s">
        <v>794</v>
      </c>
    </row>
    <row r="141" spans="1:4" x14ac:dyDescent="0.3">
      <c r="D141" t="s">
        <v>795</v>
      </c>
    </row>
    <row r="142" spans="1:4" x14ac:dyDescent="0.3">
      <c r="D142" t="s">
        <v>768</v>
      </c>
    </row>
    <row r="143" spans="1:4" x14ac:dyDescent="0.3">
      <c r="C143" t="s">
        <v>800</v>
      </c>
    </row>
    <row r="145" spans="1:4" x14ac:dyDescent="0.3">
      <c r="A145" t="s">
        <v>801</v>
      </c>
      <c r="C145" t="s">
        <v>802</v>
      </c>
    </row>
    <row r="146" spans="1:4" x14ac:dyDescent="0.3">
      <c r="C146" t="s">
        <v>811</v>
      </c>
    </row>
    <row r="147" spans="1:4" x14ac:dyDescent="0.3">
      <c r="C147" t="s">
        <v>807</v>
      </c>
    </row>
    <row r="148" spans="1:4" x14ac:dyDescent="0.3">
      <c r="D148" t="s">
        <v>808</v>
      </c>
    </row>
    <row r="149" spans="1:4" x14ac:dyDescent="0.3">
      <c r="C149" t="s">
        <v>809</v>
      </c>
    </row>
    <row r="150" spans="1:4" x14ac:dyDescent="0.3">
      <c r="C150" t="s">
        <v>810</v>
      </c>
    </row>
    <row r="152" spans="1:4" x14ac:dyDescent="0.3">
      <c r="A152" t="s">
        <v>814</v>
      </c>
      <c r="C152" t="s">
        <v>817</v>
      </c>
    </row>
    <row r="153" spans="1:4" x14ac:dyDescent="0.3">
      <c r="C153" t="s">
        <v>816</v>
      </c>
    </row>
    <row r="154" spans="1:4" x14ac:dyDescent="0.3">
      <c r="C154" t="s">
        <v>815</v>
      </c>
    </row>
    <row r="156" spans="1:4" x14ac:dyDescent="0.3">
      <c r="A156" t="s">
        <v>837</v>
      </c>
      <c r="C156" t="s">
        <v>819</v>
      </c>
    </row>
    <row r="157" spans="1:4" x14ac:dyDescent="0.3">
      <c r="C157" t="s">
        <v>850</v>
      </c>
    </row>
    <row r="158" spans="1:4" x14ac:dyDescent="0.3">
      <c r="C158" t="s">
        <v>820</v>
      </c>
    </row>
    <row r="159" spans="1:4" x14ac:dyDescent="0.3">
      <c r="C159" t="s">
        <v>821</v>
      </c>
    </row>
    <row r="160" spans="1:4" x14ac:dyDescent="0.3">
      <c r="C160" t="s">
        <v>822</v>
      </c>
    </row>
    <row r="161" spans="1:4" x14ac:dyDescent="0.3">
      <c r="C161" t="s">
        <v>823</v>
      </c>
    </row>
    <row r="162" spans="1:4" x14ac:dyDescent="0.3">
      <c r="C162" t="s">
        <v>824</v>
      </c>
    </row>
    <row r="163" spans="1:4" x14ac:dyDescent="0.3">
      <c r="C163" t="s">
        <v>840</v>
      </c>
    </row>
    <row r="164" spans="1:4" x14ac:dyDescent="0.3">
      <c r="C164" t="s">
        <v>841</v>
      </c>
    </row>
    <row r="166" spans="1:4" x14ac:dyDescent="0.3">
      <c r="A166" t="s">
        <v>852</v>
      </c>
      <c r="C166" t="s">
        <v>853</v>
      </c>
    </row>
    <row r="167" spans="1:4" x14ac:dyDescent="0.3">
      <c r="C167" t="s">
        <v>855</v>
      </c>
    </row>
    <row r="169" spans="1:4" x14ac:dyDescent="0.3">
      <c r="A169" t="s">
        <v>856</v>
      </c>
      <c r="C169" t="s">
        <v>857</v>
      </c>
    </row>
    <row r="170" spans="1:4" x14ac:dyDescent="0.3">
      <c r="C170" t="s">
        <v>858</v>
      </c>
    </row>
    <row r="172" spans="1:4" x14ac:dyDescent="0.3">
      <c r="A172" s="19" t="s">
        <v>863</v>
      </c>
      <c r="C172" t="s">
        <v>864</v>
      </c>
    </row>
    <row r="173" spans="1:4" x14ac:dyDescent="0.3">
      <c r="C173" t="s">
        <v>868</v>
      </c>
    </row>
    <row r="174" spans="1:4" x14ac:dyDescent="0.3">
      <c r="C174" t="s">
        <v>869</v>
      </c>
    </row>
    <row r="175" spans="1:4" x14ac:dyDescent="0.3">
      <c r="C175" t="s">
        <v>865</v>
      </c>
    </row>
    <row r="176" spans="1:4" x14ac:dyDescent="0.3">
      <c r="D176" t="s">
        <v>870</v>
      </c>
    </row>
    <row r="178" spans="1:5" x14ac:dyDescent="0.3">
      <c r="A178" t="s">
        <v>871</v>
      </c>
      <c r="C178" t="s">
        <v>881</v>
      </c>
    </row>
    <row r="179" spans="1:5" x14ac:dyDescent="0.3">
      <c r="D179" t="s">
        <v>874</v>
      </c>
    </row>
    <row r="180" spans="1:5" x14ac:dyDescent="0.3">
      <c r="C180" t="s">
        <v>873</v>
      </c>
    </row>
    <row r="181" spans="1:5" x14ac:dyDescent="0.3">
      <c r="C181" t="s">
        <v>880</v>
      </c>
    </row>
    <row r="182" spans="1:5" x14ac:dyDescent="0.3">
      <c r="C182" t="s">
        <v>882</v>
      </c>
    </row>
    <row r="183" spans="1:5" x14ac:dyDescent="0.3">
      <c r="D183" t="s">
        <v>884</v>
      </c>
      <c r="E183" t="s">
        <v>886</v>
      </c>
    </row>
    <row r="184" spans="1:5" x14ac:dyDescent="0.3">
      <c r="D184" t="s">
        <v>885</v>
      </c>
      <c r="E184" t="s">
        <v>887</v>
      </c>
    </row>
    <row r="185" spans="1:5" x14ac:dyDescent="0.3">
      <c r="C185" t="s">
        <v>883</v>
      </c>
    </row>
    <row r="186" spans="1:5" x14ac:dyDescent="0.3">
      <c r="C186" t="s">
        <v>888</v>
      </c>
    </row>
    <row r="189" spans="1:5" x14ac:dyDescent="0.3">
      <c r="A189" t="s">
        <v>902</v>
      </c>
      <c r="C189" t="s">
        <v>903</v>
      </c>
    </row>
    <row r="190" spans="1:5" x14ac:dyDescent="0.3">
      <c r="C190" t="s">
        <v>905</v>
      </c>
    </row>
    <row r="191" spans="1:5" x14ac:dyDescent="0.3">
      <c r="C191" t="s">
        <v>904</v>
      </c>
    </row>
    <row r="193" spans="1:4" x14ac:dyDescent="0.3">
      <c r="A193" t="s">
        <v>907</v>
      </c>
      <c r="C193" t="s">
        <v>908</v>
      </c>
    </row>
    <row r="194" spans="1:4" x14ac:dyDescent="0.3">
      <c r="C194" t="s">
        <v>909</v>
      </c>
    </row>
    <row r="196" spans="1:4" x14ac:dyDescent="0.3">
      <c r="A196" t="s">
        <v>910</v>
      </c>
      <c r="C196" t="s">
        <v>911</v>
      </c>
    </row>
    <row r="197" spans="1:4" x14ac:dyDescent="0.3">
      <c r="C197" t="s">
        <v>918</v>
      </c>
    </row>
    <row r="199" spans="1:4" x14ac:dyDescent="0.3">
      <c r="A199" t="s">
        <v>920</v>
      </c>
      <c r="C199" t="s">
        <v>921</v>
      </c>
    </row>
    <row r="200" spans="1:4" x14ac:dyDescent="0.3">
      <c r="C200" t="s">
        <v>930</v>
      </c>
    </row>
    <row r="201" spans="1:4" x14ac:dyDescent="0.3">
      <c r="C201" t="s">
        <v>931</v>
      </c>
    </row>
    <row r="202" spans="1:4" x14ac:dyDescent="0.3">
      <c r="C202" t="s">
        <v>928</v>
      </c>
    </row>
    <row r="203" spans="1:4" x14ac:dyDescent="0.3">
      <c r="C203" t="s">
        <v>922</v>
      </c>
    </row>
    <row r="204" spans="1:4" x14ac:dyDescent="0.3">
      <c r="C204" t="s">
        <v>932</v>
      </c>
    </row>
    <row r="205" spans="1:4" x14ac:dyDescent="0.3">
      <c r="D205" t="s">
        <v>933</v>
      </c>
    </row>
    <row r="206" spans="1:4" x14ac:dyDescent="0.3">
      <c r="D206" t="s">
        <v>934</v>
      </c>
    </row>
    <row r="208" spans="1:4" x14ac:dyDescent="0.3">
      <c r="A208" t="s">
        <v>935</v>
      </c>
      <c r="C208" t="s">
        <v>936</v>
      </c>
    </row>
    <row r="210" spans="1:6" x14ac:dyDescent="0.3">
      <c r="A210" t="s">
        <v>1027</v>
      </c>
      <c r="C210" t="s">
        <v>1028</v>
      </c>
    </row>
    <row r="211" spans="1:6" x14ac:dyDescent="0.3">
      <c r="C211" t="s">
        <v>1033</v>
      </c>
    </row>
    <row r="212" spans="1:6" x14ac:dyDescent="0.3">
      <c r="C212" t="s">
        <v>1032</v>
      </c>
    </row>
    <row r="213" spans="1:6" x14ac:dyDescent="0.3">
      <c r="C213" t="s">
        <v>1050</v>
      </c>
    </row>
    <row r="214" spans="1:6" x14ac:dyDescent="0.3">
      <c r="C214" t="s">
        <v>1042</v>
      </c>
    </row>
    <row r="215" spans="1:6" x14ac:dyDescent="0.3">
      <c r="C215" t="s">
        <v>1043</v>
      </c>
    </row>
    <row r="216" spans="1:6" x14ac:dyDescent="0.3">
      <c r="C216" t="s">
        <v>1038</v>
      </c>
    </row>
    <row r="218" spans="1:6" x14ac:dyDescent="0.3">
      <c r="A218" t="s">
        <v>1046</v>
      </c>
      <c r="C218" t="s">
        <v>1040</v>
      </c>
    </row>
    <row r="219" spans="1:6" x14ac:dyDescent="0.3">
      <c r="C219" t="s">
        <v>1041</v>
      </c>
    </row>
    <row r="220" spans="1:6" x14ac:dyDescent="0.3">
      <c r="C220" t="s">
        <v>1044</v>
      </c>
    </row>
    <row r="221" spans="1:6" x14ac:dyDescent="0.3">
      <c r="C221" t="s">
        <v>1047</v>
      </c>
    </row>
    <row r="222" spans="1:6" x14ac:dyDescent="0.3">
      <c r="C222" t="s">
        <v>1048</v>
      </c>
    </row>
    <row r="223" spans="1:6" x14ac:dyDescent="0.3">
      <c r="C223" t="s">
        <v>1068</v>
      </c>
    </row>
    <row r="224" spans="1:6" x14ac:dyDescent="0.3">
      <c r="C224" t="s">
        <v>1058</v>
      </c>
      <c r="F224" t="s">
        <v>1053</v>
      </c>
    </row>
    <row r="225" spans="1:6" x14ac:dyDescent="0.3">
      <c r="C225" t="s">
        <v>1057</v>
      </c>
      <c r="F225" t="s">
        <v>1051</v>
      </c>
    </row>
    <row r="226" spans="1:6" x14ac:dyDescent="0.3">
      <c r="C226" t="s">
        <v>1049</v>
      </c>
      <c r="F226" t="s">
        <v>1052</v>
      </c>
    </row>
    <row r="227" spans="1:6" x14ac:dyDescent="0.3">
      <c r="C227" t="s">
        <v>1054</v>
      </c>
    </row>
    <row r="228" spans="1:6" x14ac:dyDescent="0.3">
      <c r="C228" t="s">
        <v>1067</v>
      </c>
    </row>
    <row r="230" spans="1:6" x14ac:dyDescent="0.3">
      <c r="A230" t="s">
        <v>1071</v>
      </c>
      <c r="C230" t="s">
        <v>1072</v>
      </c>
    </row>
    <row r="231" spans="1:6" x14ac:dyDescent="0.3">
      <c r="C231" s="318"/>
    </row>
    <row r="232" spans="1:6" x14ac:dyDescent="0.3">
      <c r="A232" t="s">
        <v>1075</v>
      </c>
      <c r="C232" t="s">
        <v>1073</v>
      </c>
    </row>
    <row r="233" spans="1:6" x14ac:dyDescent="0.3">
      <c r="C233" t="s">
        <v>1074</v>
      </c>
    </row>
    <row r="234" spans="1:6" x14ac:dyDescent="0.3">
      <c r="C234" t="s">
        <v>1076</v>
      </c>
    </row>
    <row r="235" spans="1:6" x14ac:dyDescent="0.3">
      <c r="C235" t="s">
        <v>1090</v>
      </c>
    </row>
    <row r="237" spans="1:6" x14ac:dyDescent="0.3">
      <c r="A237" t="s">
        <v>1089</v>
      </c>
      <c r="C237" t="s">
        <v>1091</v>
      </c>
    </row>
    <row r="238" spans="1:6" x14ac:dyDescent="0.3">
      <c r="C238" t="s">
        <v>1092</v>
      </c>
    </row>
    <row r="239" spans="1:6" x14ac:dyDescent="0.3">
      <c r="C239" t="s">
        <v>1093</v>
      </c>
    </row>
    <row r="240" spans="1:6" x14ac:dyDescent="0.3">
      <c r="C240" t="s">
        <v>1094</v>
      </c>
    </row>
    <row r="241" spans="1:3" x14ac:dyDescent="0.3">
      <c r="C241" t="s">
        <v>1095</v>
      </c>
    </row>
    <row r="242" spans="1:3" x14ac:dyDescent="0.3">
      <c r="C242" t="s">
        <v>1096</v>
      </c>
    </row>
    <row r="244" spans="1:3" x14ac:dyDescent="0.3">
      <c r="A244" t="s">
        <v>1132</v>
      </c>
      <c r="C244" t="s">
        <v>1133</v>
      </c>
    </row>
    <row r="245" spans="1:3" x14ac:dyDescent="0.3">
      <c r="C245" t="s">
        <v>1134</v>
      </c>
    </row>
    <row r="246" spans="1:3" x14ac:dyDescent="0.3">
      <c r="C246" t="s">
        <v>1135</v>
      </c>
    </row>
    <row r="247" spans="1:3" x14ac:dyDescent="0.3">
      <c r="C247" t="s">
        <v>1136</v>
      </c>
    </row>
    <row r="249" spans="1:3" x14ac:dyDescent="0.3">
      <c r="A249" t="s">
        <v>1141</v>
      </c>
      <c r="C249" t="s">
        <v>1142</v>
      </c>
    </row>
    <row r="250" spans="1:3" x14ac:dyDescent="0.3">
      <c r="C250" t="s">
        <v>1143</v>
      </c>
    </row>
    <row r="252" spans="1:3" x14ac:dyDescent="0.3">
      <c r="A252" t="s">
        <v>1144</v>
      </c>
      <c r="C252" t="s">
        <v>1145</v>
      </c>
    </row>
    <row r="254" spans="1:3" x14ac:dyDescent="0.3">
      <c r="A254" t="s">
        <v>1146</v>
      </c>
      <c r="C254" t="s">
        <v>1147</v>
      </c>
    </row>
    <row r="256" spans="1:3" x14ac:dyDescent="0.3">
      <c r="A256" t="s">
        <v>1148</v>
      </c>
      <c r="C256" t="s">
        <v>1149</v>
      </c>
    </row>
    <row r="258" spans="1:3" x14ac:dyDescent="0.3">
      <c r="A258" t="s">
        <v>1150</v>
      </c>
      <c r="C258" t="s">
        <v>1151</v>
      </c>
    </row>
    <row r="260" spans="1:3" x14ac:dyDescent="0.3">
      <c r="A260" t="s">
        <v>1155</v>
      </c>
      <c r="C260" t="s">
        <v>1156</v>
      </c>
    </row>
  </sheetData>
  <sheetProtection algorithmName="SHA-512" hashValue="yuvWk3qhLXFvaBOA+u1KWqe0izVWQPY7bLdIKKY+iCEF2JyrT4BUd0k7cSPsF3Muq6fRdjrNVVjLMKHAHcc1NQ==" saltValue="ZaPb6mIRxer+eQyMGNZJJA==" spinCount="100000" sheet="1" objects="1" scenarios="1"/>
  <conditionalFormatting sqref="E25:F25">
    <cfRule type="expression" dxfId="1" priority="3">
      <formula>$A$14="X"</formula>
    </cfRule>
  </conditionalFormatting>
  <conditionalFormatting sqref="D15:E22">
    <cfRule type="expression" dxfId="0" priority="78">
      <formula>#REF!="GENERATOR"</formula>
    </cfRule>
  </conditionalFormatting>
  <dataValidations disablePrompts="1" count="4">
    <dataValidation type="list" allowBlank="1" showInputMessage="1" showErrorMessage="1" sqref="E22" xr:uid="{00000000-0002-0000-0900-000000000000}">
      <formula1>PCC_Sel</formula1>
    </dataValidation>
    <dataValidation type="list" showErrorMessage="1" sqref="E14" xr:uid="{00000000-0002-0000-0900-000001000000}">
      <formula1>Source_Sel</formula1>
    </dataValidation>
    <dataValidation type="list" allowBlank="1" showInputMessage="1" showErrorMessage="1" sqref="E25" xr:uid="{00000000-0002-0000-0900-000002000000}">
      <formula1>Filter_Sel</formula1>
    </dataValidation>
    <dataValidation type="list" allowBlank="1" showInputMessage="1" showErrorMessage="1" sqref="D25" xr:uid="{00000000-0002-0000-0900-000003000000}">
      <formula1>Drive_Sel</formula1>
    </dataValidation>
  </dataValidation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I66"/>
  <sheetViews>
    <sheetView workbookViewId="0">
      <selection activeCell="A2" sqref="A2"/>
    </sheetView>
  </sheetViews>
  <sheetFormatPr defaultRowHeight="14.4" x14ac:dyDescent="0.3"/>
  <cols>
    <col min="2" max="2" width="24.44140625" bestFit="1" customWidth="1"/>
    <col min="3" max="3" width="7.88671875" style="1" customWidth="1"/>
    <col min="4" max="4" width="15.88671875" bestFit="1" customWidth="1"/>
    <col min="5" max="5" width="7.44140625" customWidth="1"/>
    <col min="6" max="9" width="9.109375" style="1"/>
  </cols>
  <sheetData>
    <row r="1" spans="1:9" ht="15.6" x14ac:dyDescent="0.3">
      <c r="A1" s="247" t="s">
        <v>410</v>
      </c>
    </row>
    <row r="2" spans="1:9" x14ac:dyDescent="0.3">
      <c r="G2" s="17" t="s">
        <v>19</v>
      </c>
      <c r="H2" s="17" t="s">
        <v>411</v>
      </c>
      <c r="I2" s="1" t="s">
        <v>465</v>
      </c>
    </row>
    <row r="3" spans="1:9" s="281" customFormat="1" x14ac:dyDescent="0.3">
      <c r="B3" s="282" t="s">
        <v>156</v>
      </c>
      <c r="C3" s="283"/>
      <c r="D3" s="282" t="s">
        <v>223</v>
      </c>
      <c r="E3" s="284"/>
      <c r="F3" s="283" t="s">
        <v>413</v>
      </c>
      <c r="G3" s="283" t="s">
        <v>414</v>
      </c>
      <c r="H3" s="283" t="s">
        <v>415</v>
      </c>
      <c r="I3" s="283" t="s">
        <v>167</v>
      </c>
    </row>
    <row r="4" spans="1:9" x14ac:dyDescent="0.3">
      <c r="B4" t="s">
        <v>242</v>
      </c>
      <c r="D4" t="s">
        <v>317</v>
      </c>
      <c r="E4" s="217"/>
      <c r="F4" s="1" t="s">
        <v>269</v>
      </c>
      <c r="G4" s="1">
        <v>6</v>
      </c>
      <c r="H4" s="1" t="s">
        <v>303</v>
      </c>
      <c r="I4" s="285">
        <v>0.99</v>
      </c>
    </row>
    <row r="5" spans="1:9" x14ac:dyDescent="0.3">
      <c r="B5" t="str">
        <f>B4</f>
        <v>6 Pulse w/ No Impedance</v>
      </c>
      <c r="D5" t="s">
        <v>224</v>
      </c>
      <c r="E5" s="217"/>
      <c r="F5" s="1" t="s">
        <v>270</v>
      </c>
      <c r="G5" s="1">
        <v>7</v>
      </c>
      <c r="H5" s="1" t="s">
        <v>304</v>
      </c>
      <c r="I5" s="285">
        <v>0.98</v>
      </c>
    </row>
    <row r="6" spans="1:9" s="281" customFormat="1" x14ac:dyDescent="0.3">
      <c r="B6" s="281" t="str">
        <f t="shared" ref="B6:B12" si="0">B5</f>
        <v>6 Pulse w/ No Impedance</v>
      </c>
      <c r="C6" s="284"/>
      <c r="D6" s="281" t="s">
        <v>225</v>
      </c>
      <c r="E6" s="286"/>
      <c r="F6" s="284" t="s">
        <v>271</v>
      </c>
      <c r="G6" s="284">
        <v>8</v>
      </c>
      <c r="H6" s="284" t="s">
        <v>305</v>
      </c>
      <c r="I6" s="287">
        <v>0.97499999999999998</v>
      </c>
    </row>
    <row r="7" spans="1:9" x14ac:dyDescent="0.3">
      <c r="B7" t="str">
        <f t="shared" si="0"/>
        <v>6 Pulse w/ No Impedance</v>
      </c>
      <c r="D7" t="s">
        <v>226</v>
      </c>
      <c r="E7" s="217"/>
      <c r="F7" s="1" t="s">
        <v>272</v>
      </c>
      <c r="G7" s="1">
        <v>9</v>
      </c>
      <c r="H7" s="1" t="s">
        <v>306</v>
      </c>
      <c r="I7" s="285">
        <v>0.97</v>
      </c>
    </row>
    <row r="8" spans="1:9" x14ac:dyDescent="0.3">
      <c r="B8" t="str">
        <f t="shared" si="0"/>
        <v>6 Pulse w/ No Impedance</v>
      </c>
      <c r="D8" t="s">
        <v>227</v>
      </c>
      <c r="E8" s="217"/>
      <c r="F8" s="1" t="s">
        <v>273</v>
      </c>
      <c r="G8" s="1">
        <v>10</v>
      </c>
      <c r="H8" s="1" t="s">
        <v>307</v>
      </c>
      <c r="I8" s="285">
        <v>0.96499999999999997</v>
      </c>
    </row>
    <row r="9" spans="1:9" s="288" customFormat="1" x14ac:dyDescent="0.3">
      <c r="B9" s="288" t="str">
        <f t="shared" si="0"/>
        <v>6 Pulse w/ No Impedance</v>
      </c>
      <c r="C9" s="289"/>
      <c r="D9" s="288" t="s">
        <v>228</v>
      </c>
      <c r="E9" s="290"/>
      <c r="F9" s="289" t="s">
        <v>274</v>
      </c>
      <c r="G9" s="289">
        <v>11</v>
      </c>
      <c r="H9" s="289" t="s">
        <v>416</v>
      </c>
      <c r="I9" s="291">
        <v>0.96</v>
      </c>
    </row>
    <row r="10" spans="1:9" x14ac:dyDescent="0.3">
      <c r="B10" t="str">
        <f t="shared" si="0"/>
        <v>6 Pulse w/ No Impedance</v>
      </c>
      <c r="D10" t="s">
        <v>229</v>
      </c>
      <c r="E10" s="217"/>
      <c r="F10" s="1" t="s">
        <v>275</v>
      </c>
      <c r="G10" s="1">
        <v>12</v>
      </c>
      <c r="H10" s="1" t="s">
        <v>417</v>
      </c>
      <c r="I10" s="285">
        <v>0.95499999999999996</v>
      </c>
    </row>
    <row r="11" spans="1:9" x14ac:dyDescent="0.3">
      <c r="B11" t="str">
        <f t="shared" si="0"/>
        <v>6 Pulse w/ No Impedance</v>
      </c>
      <c r="D11" t="s">
        <v>371</v>
      </c>
      <c r="E11" s="217"/>
      <c r="F11" s="1" t="s">
        <v>276</v>
      </c>
      <c r="G11" s="1">
        <v>13</v>
      </c>
      <c r="H11" s="1" t="s">
        <v>418</v>
      </c>
      <c r="I11" s="285"/>
    </row>
    <row r="12" spans="1:9" s="281" customFormat="1" x14ac:dyDescent="0.3">
      <c r="B12" s="281" t="str">
        <f t="shared" si="0"/>
        <v>6 Pulse w/ No Impedance</v>
      </c>
      <c r="C12" s="284"/>
      <c r="D12" s="281" t="s">
        <v>372</v>
      </c>
      <c r="E12" s="286"/>
      <c r="F12" s="284" t="s">
        <v>277</v>
      </c>
      <c r="G12" s="284">
        <v>14</v>
      </c>
      <c r="H12" s="284" t="s">
        <v>419</v>
      </c>
      <c r="I12" s="287"/>
    </row>
    <row r="13" spans="1:9" s="292" customFormat="1" x14ac:dyDescent="0.3">
      <c r="C13" s="293"/>
      <c r="F13" s="293"/>
      <c r="G13" s="293"/>
      <c r="H13" s="293"/>
      <c r="I13" s="293"/>
    </row>
    <row r="14" spans="1:9" x14ac:dyDescent="0.3">
      <c r="B14" t="s">
        <v>221</v>
      </c>
      <c r="D14" t="s">
        <v>317</v>
      </c>
      <c r="F14" s="1" t="s">
        <v>278</v>
      </c>
      <c r="G14" s="1">
        <v>18</v>
      </c>
      <c r="H14" s="1" t="s">
        <v>420</v>
      </c>
      <c r="I14" s="285">
        <v>0.98</v>
      </c>
    </row>
    <row r="15" spans="1:9" x14ac:dyDescent="0.3">
      <c r="B15" t="str">
        <f>B14</f>
        <v>6 Pulse w/ 3% DC Choke</v>
      </c>
      <c r="D15" t="s">
        <v>224</v>
      </c>
      <c r="F15" s="1" t="s">
        <v>279</v>
      </c>
      <c r="G15" s="1">
        <v>19</v>
      </c>
      <c r="H15" s="1" t="s">
        <v>421</v>
      </c>
      <c r="I15" s="1">
        <v>0.97499999999999998</v>
      </c>
    </row>
    <row r="16" spans="1:9" s="288" customFormat="1" x14ac:dyDescent="0.3">
      <c r="B16" s="288" t="str">
        <f t="shared" ref="B16:B22" si="1">B15</f>
        <v>6 Pulse w/ 3% DC Choke</v>
      </c>
      <c r="C16" s="289"/>
      <c r="D16" s="288" t="s">
        <v>225</v>
      </c>
      <c r="F16" s="289" t="s">
        <v>280</v>
      </c>
      <c r="G16" s="289">
        <v>20</v>
      </c>
      <c r="H16" s="289" t="s">
        <v>422</v>
      </c>
      <c r="I16" s="291">
        <v>0.97</v>
      </c>
    </row>
    <row r="17" spans="2:9" x14ac:dyDescent="0.3">
      <c r="B17" t="str">
        <f t="shared" si="1"/>
        <v>6 Pulse w/ 3% DC Choke</v>
      </c>
      <c r="D17" t="s">
        <v>226</v>
      </c>
      <c r="F17" s="1" t="s">
        <v>281</v>
      </c>
      <c r="G17" s="1">
        <v>21</v>
      </c>
      <c r="H17" s="1" t="s">
        <v>412</v>
      </c>
      <c r="I17" s="1">
        <v>0.96499999999999997</v>
      </c>
    </row>
    <row r="18" spans="2:9" x14ac:dyDescent="0.3">
      <c r="B18" t="str">
        <f t="shared" si="1"/>
        <v>6 Pulse w/ 3% DC Choke</v>
      </c>
      <c r="D18" t="s">
        <v>227</v>
      </c>
      <c r="F18" s="1" t="s">
        <v>282</v>
      </c>
      <c r="G18" s="1">
        <v>22</v>
      </c>
      <c r="H18" s="1" t="s">
        <v>423</v>
      </c>
      <c r="I18" s="285">
        <v>0.96</v>
      </c>
    </row>
    <row r="19" spans="2:9" s="281" customFormat="1" x14ac:dyDescent="0.3">
      <c r="B19" s="281" t="str">
        <f t="shared" si="1"/>
        <v>6 Pulse w/ 3% DC Choke</v>
      </c>
      <c r="C19" s="286"/>
      <c r="D19" s="281" t="s">
        <v>228</v>
      </c>
      <c r="F19" s="284" t="s">
        <v>283</v>
      </c>
      <c r="G19" s="284">
        <v>23</v>
      </c>
      <c r="H19" s="284" t="s">
        <v>424</v>
      </c>
      <c r="I19" s="284">
        <v>0.95499999999999996</v>
      </c>
    </row>
    <row r="20" spans="2:9" x14ac:dyDescent="0.3">
      <c r="B20" t="str">
        <f t="shared" si="1"/>
        <v>6 Pulse w/ 3% DC Choke</v>
      </c>
      <c r="C20" s="217"/>
      <c r="D20" t="s">
        <v>229</v>
      </c>
      <c r="F20" s="1" t="s">
        <v>284</v>
      </c>
      <c r="G20" s="1">
        <v>24</v>
      </c>
      <c r="H20" s="1" t="s">
        <v>425</v>
      </c>
      <c r="I20" s="285">
        <v>0.95</v>
      </c>
    </row>
    <row r="21" spans="2:9" x14ac:dyDescent="0.3">
      <c r="B21" t="str">
        <f t="shared" si="1"/>
        <v>6 Pulse w/ 3% DC Choke</v>
      </c>
      <c r="D21" t="s">
        <v>371</v>
      </c>
      <c r="F21" s="1" t="s">
        <v>285</v>
      </c>
      <c r="G21" s="1">
        <v>25</v>
      </c>
      <c r="H21" s="1" t="s">
        <v>426</v>
      </c>
    </row>
    <row r="22" spans="2:9" s="281" customFormat="1" x14ac:dyDescent="0.3">
      <c r="B22" s="281" t="str">
        <f t="shared" si="1"/>
        <v>6 Pulse w/ 3% DC Choke</v>
      </c>
      <c r="C22" s="284"/>
      <c r="D22" s="281" t="s">
        <v>372</v>
      </c>
      <c r="F22" s="284" t="s">
        <v>286</v>
      </c>
      <c r="G22" s="284">
        <v>26</v>
      </c>
      <c r="H22" s="284" t="s">
        <v>427</v>
      </c>
      <c r="I22" s="284"/>
    </row>
    <row r="23" spans="2:9" s="292" customFormat="1" x14ac:dyDescent="0.3">
      <c r="C23" s="293"/>
      <c r="F23" s="293"/>
      <c r="G23" s="293"/>
      <c r="H23" s="293"/>
      <c r="I23" s="293"/>
    </row>
    <row r="24" spans="2:9" x14ac:dyDescent="0.3">
      <c r="B24" t="s">
        <v>222</v>
      </c>
      <c r="D24" t="s">
        <v>317</v>
      </c>
      <c r="F24" s="1" t="s">
        <v>287</v>
      </c>
      <c r="G24" s="1">
        <v>30</v>
      </c>
      <c r="H24" s="1" t="s">
        <v>428</v>
      </c>
      <c r="I24" s="285">
        <v>0.96499999999999997</v>
      </c>
    </row>
    <row r="25" spans="2:9" x14ac:dyDescent="0.3">
      <c r="B25" t="str">
        <f>B24</f>
        <v>6 Pulse w/ 5% DC Choke</v>
      </c>
      <c r="D25" t="s">
        <v>224</v>
      </c>
      <c r="F25" s="1" t="s">
        <v>288</v>
      </c>
      <c r="G25" s="1">
        <v>31</v>
      </c>
      <c r="H25" s="1" t="s">
        <v>429</v>
      </c>
      <c r="I25" s="285">
        <v>0.96499999999999997</v>
      </c>
    </row>
    <row r="26" spans="2:9" s="281" customFormat="1" x14ac:dyDescent="0.3">
      <c r="B26" s="281" t="str">
        <f t="shared" ref="B26:B32" si="2">B25</f>
        <v>6 Pulse w/ 5% DC Choke</v>
      </c>
      <c r="C26" s="284"/>
      <c r="D26" s="281" t="s">
        <v>225</v>
      </c>
      <c r="F26" s="284" t="s">
        <v>289</v>
      </c>
      <c r="G26" s="284">
        <v>32</v>
      </c>
      <c r="H26" s="284" t="s">
        <v>26</v>
      </c>
      <c r="I26" s="287">
        <v>0.96</v>
      </c>
    </row>
    <row r="27" spans="2:9" x14ac:dyDescent="0.3">
      <c r="B27" t="str">
        <f t="shared" si="2"/>
        <v>6 Pulse w/ 5% DC Choke</v>
      </c>
      <c r="D27" t="s">
        <v>226</v>
      </c>
      <c r="F27" s="1" t="s">
        <v>290</v>
      </c>
      <c r="G27" s="1">
        <v>33</v>
      </c>
      <c r="H27" s="1" t="s">
        <v>430</v>
      </c>
      <c r="I27" s="285">
        <v>0.95499999999999996</v>
      </c>
    </row>
    <row r="28" spans="2:9" x14ac:dyDescent="0.3">
      <c r="B28" t="str">
        <f t="shared" si="2"/>
        <v>6 Pulse w/ 5% DC Choke</v>
      </c>
      <c r="D28" t="s">
        <v>227</v>
      </c>
      <c r="F28" s="1" t="s">
        <v>291</v>
      </c>
      <c r="G28" s="1">
        <v>34</v>
      </c>
      <c r="H28" s="1" t="s">
        <v>373</v>
      </c>
      <c r="I28" s="285">
        <v>0.95</v>
      </c>
    </row>
    <row r="29" spans="2:9" s="281" customFormat="1" x14ac:dyDescent="0.3">
      <c r="B29" s="281" t="str">
        <f t="shared" si="2"/>
        <v>6 Pulse w/ 5% DC Choke</v>
      </c>
      <c r="C29" s="286"/>
      <c r="D29" s="281" t="s">
        <v>228</v>
      </c>
      <c r="F29" s="284" t="s">
        <v>292</v>
      </c>
      <c r="G29" s="284">
        <v>35</v>
      </c>
      <c r="H29" s="284" t="s">
        <v>431</v>
      </c>
      <c r="I29" s="287">
        <v>0.95</v>
      </c>
    </row>
    <row r="30" spans="2:9" x14ac:dyDescent="0.3">
      <c r="B30" t="str">
        <f t="shared" si="2"/>
        <v>6 Pulse w/ 5% DC Choke</v>
      </c>
      <c r="C30" s="217"/>
      <c r="D30" t="s">
        <v>229</v>
      </c>
      <c r="F30" s="1" t="s">
        <v>293</v>
      </c>
      <c r="G30" s="1">
        <v>36</v>
      </c>
      <c r="H30" s="1" t="s">
        <v>432</v>
      </c>
      <c r="I30" s="285">
        <v>0.94499999999999995</v>
      </c>
    </row>
    <row r="31" spans="2:9" x14ac:dyDescent="0.3">
      <c r="B31" t="str">
        <f t="shared" si="2"/>
        <v>6 Pulse w/ 5% DC Choke</v>
      </c>
      <c r="D31" t="s">
        <v>371</v>
      </c>
      <c r="F31" s="1" t="s">
        <v>294</v>
      </c>
      <c r="G31" s="1">
        <v>37</v>
      </c>
      <c r="H31" s="1" t="s">
        <v>433</v>
      </c>
    </row>
    <row r="32" spans="2:9" s="281" customFormat="1" x14ac:dyDescent="0.3">
      <c r="B32" s="281" t="str">
        <f t="shared" si="2"/>
        <v>6 Pulse w/ 5% DC Choke</v>
      </c>
      <c r="C32" s="284"/>
      <c r="D32" s="281" t="s">
        <v>372</v>
      </c>
      <c r="F32" s="284" t="s">
        <v>295</v>
      </c>
      <c r="G32" s="284">
        <v>38</v>
      </c>
      <c r="H32" s="284" t="s">
        <v>434</v>
      </c>
      <c r="I32" s="284"/>
    </row>
    <row r="33" spans="2:9" s="292" customFormat="1" x14ac:dyDescent="0.3">
      <c r="C33" s="293"/>
      <c r="F33" s="293"/>
      <c r="G33" s="293"/>
      <c r="H33" s="293"/>
      <c r="I33" s="293"/>
    </row>
    <row r="34" spans="2:9" x14ac:dyDescent="0.3">
      <c r="B34" t="s">
        <v>369</v>
      </c>
      <c r="D34" t="s">
        <v>317</v>
      </c>
      <c r="F34" s="1" t="s">
        <v>296</v>
      </c>
      <c r="G34" s="1">
        <v>42</v>
      </c>
      <c r="H34" s="1" t="s">
        <v>435</v>
      </c>
      <c r="I34" s="285">
        <v>0.98099999999999998</v>
      </c>
    </row>
    <row r="35" spans="2:9" x14ac:dyDescent="0.3">
      <c r="B35" t="s">
        <v>370</v>
      </c>
      <c r="D35" t="s">
        <v>317</v>
      </c>
      <c r="F35" s="1" t="s">
        <v>297</v>
      </c>
      <c r="G35" s="1">
        <v>54</v>
      </c>
      <c r="H35" s="1" t="s">
        <v>436</v>
      </c>
      <c r="I35" s="1">
        <v>0.98499999999999999</v>
      </c>
    </row>
    <row r="36" spans="2:9" s="281" customFormat="1" x14ac:dyDescent="0.3">
      <c r="B36" s="281" t="s">
        <v>437</v>
      </c>
      <c r="C36" s="284"/>
      <c r="D36" s="281" t="s">
        <v>317</v>
      </c>
      <c r="F36" s="284" t="s">
        <v>298</v>
      </c>
      <c r="G36" s="284">
        <v>66</v>
      </c>
      <c r="H36" s="284" t="s">
        <v>438</v>
      </c>
      <c r="I36" s="284">
        <v>0.995</v>
      </c>
    </row>
    <row r="39" spans="2:9" x14ac:dyDescent="0.3">
      <c r="B39" s="4" t="s">
        <v>439</v>
      </c>
      <c r="D39" s="17" t="s">
        <v>440</v>
      </c>
      <c r="F39" s="17" t="s">
        <v>462</v>
      </c>
    </row>
    <row r="40" spans="2:9" x14ac:dyDescent="0.3">
      <c r="B40" t="s">
        <v>7</v>
      </c>
      <c r="D40" s="1" t="s">
        <v>441</v>
      </c>
      <c r="F40" s="1" t="s">
        <v>19</v>
      </c>
      <c r="G40" s="1" t="s">
        <v>442</v>
      </c>
    </row>
    <row r="41" spans="2:9" x14ac:dyDescent="0.3">
      <c r="B41" t="s">
        <v>53</v>
      </c>
      <c r="D41" s="1" t="s">
        <v>443</v>
      </c>
      <c r="F41" s="1" t="s">
        <v>19</v>
      </c>
      <c r="G41" s="1" t="s">
        <v>444</v>
      </c>
    </row>
    <row r="42" spans="2:9" x14ac:dyDescent="0.3">
      <c r="B42" t="s">
        <v>445</v>
      </c>
      <c r="D42" s="1" t="s">
        <v>446</v>
      </c>
      <c r="F42" s="1" t="s">
        <v>19</v>
      </c>
      <c r="G42" s="1" t="s">
        <v>431</v>
      </c>
    </row>
    <row r="43" spans="2:9" x14ac:dyDescent="0.3">
      <c r="B43" t="s">
        <v>176</v>
      </c>
      <c r="D43" s="1" t="s">
        <v>447</v>
      </c>
      <c r="G43" s="215" t="s">
        <v>448</v>
      </c>
    </row>
    <row r="45" spans="2:9" x14ac:dyDescent="0.3">
      <c r="B45" s="4" t="s">
        <v>449</v>
      </c>
      <c r="D45" s="17" t="s">
        <v>440</v>
      </c>
      <c r="F45" s="17" t="s">
        <v>481</v>
      </c>
    </row>
    <row r="46" spans="2:9" x14ac:dyDescent="0.3">
      <c r="B46" t="s">
        <v>7</v>
      </c>
      <c r="D46" s="1" t="s">
        <v>441</v>
      </c>
      <c r="F46" s="1" t="s">
        <v>19</v>
      </c>
      <c r="G46" s="1" t="s">
        <v>442</v>
      </c>
    </row>
    <row r="47" spans="2:9" x14ac:dyDescent="0.3">
      <c r="B47" t="s">
        <v>13</v>
      </c>
      <c r="D47" s="1" t="s">
        <v>450</v>
      </c>
      <c r="F47" s="1" t="s">
        <v>465</v>
      </c>
      <c r="G47" s="1" t="s">
        <v>451</v>
      </c>
    </row>
    <row r="48" spans="2:9" x14ac:dyDescent="0.3">
      <c r="B48" t="s">
        <v>53</v>
      </c>
      <c r="D48" s="1" t="s">
        <v>443</v>
      </c>
      <c r="F48" s="1" t="s">
        <v>465</v>
      </c>
      <c r="G48" s="1" t="s">
        <v>452</v>
      </c>
    </row>
    <row r="49" spans="2:7" x14ac:dyDescent="0.3">
      <c r="B49" t="s">
        <v>84</v>
      </c>
      <c r="D49" s="1" t="s">
        <v>446</v>
      </c>
      <c r="F49" s="1" t="s">
        <v>19</v>
      </c>
      <c r="G49" s="1" t="s">
        <v>431</v>
      </c>
    </row>
    <row r="50" spans="2:7" x14ac:dyDescent="0.3">
      <c r="B50" t="s">
        <v>142</v>
      </c>
      <c r="D50" s="1" t="s">
        <v>453</v>
      </c>
      <c r="F50" s="1" t="s">
        <v>19</v>
      </c>
      <c r="G50" s="1" t="s">
        <v>430</v>
      </c>
    </row>
    <row r="51" spans="2:7" x14ac:dyDescent="0.3">
      <c r="B51" t="s">
        <v>143</v>
      </c>
      <c r="D51" s="1" t="s">
        <v>454</v>
      </c>
      <c r="F51" s="1" t="s">
        <v>19</v>
      </c>
      <c r="G51" s="1" t="s">
        <v>373</v>
      </c>
    </row>
    <row r="52" spans="2:7" x14ac:dyDescent="0.3">
      <c r="B52" t="s">
        <v>144</v>
      </c>
      <c r="D52" s="1" t="s">
        <v>455</v>
      </c>
      <c r="F52" s="1" t="s">
        <v>19</v>
      </c>
      <c r="G52" s="215" t="s">
        <v>456</v>
      </c>
    </row>
    <row r="53" spans="2:7" x14ac:dyDescent="0.3">
      <c r="B53" t="s">
        <v>150</v>
      </c>
      <c r="D53" s="1" t="s">
        <v>457</v>
      </c>
      <c r="F53" s="1" t="s">
        <v>19</v>
      </c>
      <c r="G53" s="1" t="s">
        <v>458</v>
      </c>
    </row>
    <row r="54" spans="2:7" x14ac:dyDescent="0.3">
      <c r="B54" t="s">
        <v>176</v>
      </c>
      <c r="D54" s="1" t="s">
        <v>447</v>
      </c>
      <c r="F54" s="1" t="s">
        <v>19</v>
      </c>
      <c r="G54" s="1" t="s">
        <v>459</v>
      </c>
    </row>
    <row r="56" spans="2:7" x14ac:dyDescent="0.3">
      <c r="B56" s="4" t="s">
        <v>460</v>
      </c>
      <c r="D56" s="17" t="s">
        <v>461</v>
      </c>
      <c r="F56" s="17" t="s">
        <v>462</v>
      </c>
    </row>
    <row r="57" spans="2:7" x14ac:dyDescent="0.3">
      <c r="B57" t="s">
        <v>179</v>
      </c>
      <c r="D57" s="1">
        <v>4</v>
      </c>
      <c r="F57" s="1" t="s">
        <v>19</v>
      </c>
      <c r="G57" s="1" t="s">
        <v>463</v>
      </c>
    </row>
    <row r="58" spans="2:7" x14ac:dyDescent="0.3">
      <c r="B58" t="s">
        <v>178</v>
      </c>
      <c r="D58" s="1">
        <v>5</v>
      </c>
      <c r="F58" s="1" t="s">
        <v>19</v>
      </c>
      <c r="G58" s="1" t="s">
        <v>464</v>
      </c>
    </row>
    <row r="59" spans="2:7" x14ac:dyDescent="0.3">
      <c r="B59" t="s">
        <v>180</v>
      </c>
      <c r="D59" s="1">
        <v>6</v>
      </c>
      <c r="F59" s="1" t="s">
        <v>465</v>
      </c>
      <c r="G59" s="1" t="s">
        <v>443</v>
      </c>
    </row>
    <row r="60" spans="2:7" x14ac:dyDescent="0.3">
      <c r="B60" s="294" t="s">
        <v>466</v>
      </c>
      <c r="D60" s="1" t="s">
        <v>467</v>
      </c>
      <c r="F60" s="1" t="s">
        <v>465</v>
      </c>
      <c r="G60" s="1" t="s">
        <v>468</v>
      </c>
    </row>
    <row r="62" spans="2:7" x14ac:dyDescent="0.3">
      <c r="B62" s="4" t="s">
        <v>469</v>
      </c>
      <c r="D62" s="17" t="s">
        <v>470</v>
      </c>
      <c r="E62" s="4"/>
      <c r="F62" s="17" t="s">
        <v>462</v>
      </c>
    </row>
    <row r="63" spans="2:7" x14ac:dyDescent="0.3">
      <c r="B63" t="s">
        <v>167</v>
      </c>
      <c r="D63" s="1" t="s">
        <v>471</v>
      </c>
      <c r="F63" s="1" t="s">
        <v>465</v>
      </c>
      <c r="G63" s="1" t="s">
        <v>447</v>
      </c>
    </row>
    <row r="64" spans="2:7" x14ac:dyDescent="0.3">
      <c r="B64" t="s">
        <v>169</v>
      </c>
      <c r="D64" s="1" t="s">
        <v>464</v>
      </c>
      <c r="F64" s="1" t="s">
        <v>465</v>
      </c>
      <c r="G64" s="1" t="s">
        <v>472</v>
      </c>
    </row>
    <row r="65" spans="2:7" x14ac:dyDescent="0.3">
      <c r="B65" t="s">
        <v>52</v>
      </c>
      <c r="D65" s="1" t="s">
        <v>473</v>
      </c>
      <c r="F65" s="1" t="s">
        <v>465</v>
      </c>
      <c r="G65" s="1" t="s">
        <v>474</v>
      </c>
    </row>
    <row r="66" spans="2:7" x14ac:dyDescent="0.3">
      <c r="B66" t="s">
        <v>475</v>
      </c>
      <c r="D66" s="1" t="s">
        <v>476</v>
      </c>
      <c r="F66" s="1" t="s">
        <v>411</v>
      </c>
      <c r="G66" s="1" t="s">
        <v>477</v>
      </c>
    </row>
  </sheetData>
  <sheetProtection password="EDB7" sheet="1" objects="1" scenarios="1"/>
  <pageMargins left="0.7" right="0.7" top="0.75" bottom="0.75" header="0.3" footer="0.3"/>
  <pageSetup scale="71"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E118"/>
  <sheetViews>
    <sheetView workbookViewId="0"/>
  </sheetViews>
  <sheetFormatPr defaultRowHeight="13.2" x14ac:dyDescent="0.25"/>
  <cols>
    <col min="1" max="7" width="9.109375" style="36" customWidth="1"/>
    <col min="8" max="8" width="10.6640625" style="36" customWidth="1"/>
    <col min="9" max="12" width="9.33203125" style="36" bestFit="1" customWidth="1"/>
    <col min="13" max="24" width="9.109375" style="36"/>
    <col min="25" max="31" width="9.44140625" style="36" bestFit="1" customWidth="1"/>
    <col min="32" max="263" width="9.109375" style="36"/>
    <col min="264" max="264" width="10.6640625" style="36" customWidth="1"/>
    <col min="265" max="519" width="9.109375" style="36"/>
    <col min="520" max="520" width="10.6640625" style="36" customWidth="1"/>
    <col min="521" max="775" width="9.109375" style="36"/>
    <col min="776" max="776" width="10.6640625" style="36" customWidth="1"/>
    <col min="777" max="1031" width="9.109375" style="36"/>
    <col min="1032" max="1032" width="10.6640625" style="36" customWidth="1"/>
    <col min="1033" max="1287" width="9.109375" style="36"/>
    <col min="1288" max="1288" width="10.6640625" style="36" customWidth="1"/>
    <col min="1289" max="1543" width="9.109375" style="36"/>
    <col min="1544" max="1544" width="10.6640625" style="36" customWidth="1"/>
    <col min="1545" max="1799" width="9.109375" style="36"/>
    <col min="1800" max="1800" width="10.6640625" style="36" customWidth="1"/>
    <col min="1801" max="2055" width="9.109375" style="36"/>
    <col min="2056" max="2056" width="10.6640625" style="36" customWidth="1"/>
    <col min="2057" max="2311" width="9.109375" style="36"/>
    <col min="2312" max="2312" width="10.6640625" style="36" customWidth="1"/>
    <col min="2313" max="2567" width="9.109375" style="36"/>
    <col min="2568" max="2568" width="10.6640625" style="36" customWidth="1"/>
    <col min="2569" max="2823" width="9.109375" style="36"/>
    <col min="2824" max="2824" width="10.6640625" style="36" customWidth="1"/>
    <col min="2825" max="3079" width="9.109375" style="36"/>
    <col min="3080" max="3080" width="10.6640625" style="36" customWidth="1"/>
    <col min="3081" max="3335" width="9.109375" style="36"/>
    <col min="3336" max="3336" width="10.6640625" style="36" customWidth="1"/>
    <col min="3337" max="3591" width="9.109375" style="36"/>
    <col min="3592" max="3592" width="10.6640625" style="36" customWidth="1"/>
    <col min="3593" max="3847" width="9.109375" style="36"/>
    <col min="3848" max="3848" width="10.6640625" style="36" customWidth="1"/>
    <col min="3849" max="4103" width="9.109375" style="36"/>
    <col min="4104" max="4104" width="10.6640625" style="36" customWidth="1"/>
    <col min="4105" max="4359" width="9.109375" style="36"/>
    <col min="4360" max="4360" width="10.6640625" style="36" customWidth="1"/>
    <col min="4361" max="4615" width="9.109375" style="36"/>
    <col min="4616" max="4616" width="10.6640625" style="36" customWidth="1"/>
    <col min="4617" max="4871" width="9.109375" style="36"/>
    <col min="4872" max="4872" width="10.6640625" style="36" customWidth="1"/>
    <col min="4873" max="5127" width="9.109375" style="36"/>
    <col min="5128" max="5128" width="10.6640625" style="36" customWidth="1"/>
    <col min="5129" max="5383" width="9.109375" style="36"/>
    <col min="5384" max="5384" width="10.6640625" style="36" customWidth="1"/>
    <col min="5385" max="5639" width="9.109375" style="36"/>
    <col min="5640" max="5640" width="10.6640625" style="36" customWidth="1"/>
    <col min="5641" max="5895" width="9.109375" style="36"/>
    <col min="5896" max="5896" width="10.6640625" style="36" customWidth="1"/>
    <col min="5897" max="6151" width="9.109375" style="36"/>
    <col min="6152" max="6152" width="10.6640625" style="36" customWidth="1"/>
    <col min="6153" max="6407" width="9.109375" style="36"/>
    <col min="6408" max="6408" width="10.6640625" style="36" customWidth="1"/>
    <col min="6409" max="6663" width="9.109375" style="36"/>
    <col min="6664" max="6664" width="10.6640625" style="36" customWidth="1"/>
    <col min="6665" max="6919" width="9.109375" style="36"/>
    <col min="6920" max="6920" width="10.6640625" style="36" customWidth="1"/>
    <col min="6921" max="7175" width="9.109375" style="36"/>
    <col min="7176" max="7176" width="10.6640625" style="36" customWidth="1"/>
    <col min="7177" max="7431" width="9.109375" style="36"/>
    <col min="7432" max="7432" width="10.6640625" style="36" customWidth="1"/>
    <col min="7433" max="7687" width="9.109375" style="36"/>
    <col min="7688" max="7688" width="10.6640625" style="36" customWidth="1"/>
    <col min="7689" max="7943" width="9.109375" style="36"/>
    <col min="7944" max="7944" width="10.6640625" style="36" customWidth="1"/>
    <col min="7945" max="8199" width="9.109375" style="36"/>
    <col min="8200" max="8200" width="10.6640625" style="36" customWidth="1"/>
    <col min="8201" max="8455" width="9.109375" style="36"/>
    <col min="8456" max="8456" width="10.6640625" style="36" customWidth="1"/>
    <col min="8457" max="8711" width="9.109375" style="36"/>
    <col min="8712" max="8712" width="10.6640625" style="36" customWidth="1"/>
    <col min="8713" max="8967" width="9.109375" style="36"/>
    <col min="8968" max="8968" width="10.6640625" style="36" customWidth="1"/>
    <col min="8969" max="9223" width="9.109375" style="36"/>
    <col min="9224" max="9224" width="10.6640625" style="36" customWidth="1"/>
    <col min="9225" max="9479" width="9.109375" style="36"/>
    <col min="9480" max="9480" width="10.6640625" style="36" customWidth="1"/>
    <col min="9481" max="9735" width="9.109375" style="36"/>
    <col min="9736" max="9736" width="10.6640625" style="36" customWidth="1"/>
    <col min="9737" max="9991" width="9.109375" style="36"/>
    <col min="9992" max="9992" width="10.6640625" style="36" customWidth="1"/>
    <col min="9993" max="10247" width="9.109375" style="36"/>
    <col min="10248" max="10248" width="10.6640625" style="36" customWidth="1"/>
    <col min="10249" max="10503" width="9.109375" style="36"/>
    <col min="10504" max="10504" width="10.6640625" style="36" customWidth="1"/>
    <col min="10505" max="10759" width="9.109375" style="36"/>
    <col min="10760" max="10760" width="10.6640625" style="36" customWidth="1"/>
    <col min="10761" max="11015" width="9.109375" style="36"/>
    <col min="11016" max="11016" width="10.6640625" style="36" customWidth="1"/>
    <col min="11017" max="11271" width="9.109375" style="36"/>
    <col min="11272" max="11272" width="10.6640625" style="36" customWidth="1"/>
    <col min="11273" max="11527" width="9.109375" style="36"/>
    <col min="11528" max="11528" width="10.6640625" style="36" customWidth="1"/>
    <col min="11529" max="11783" width="9.109375" style="36"/>
    <col min="11784" max="11784" width="10.6640625" style="36" customWidth="1"/>
    <col min="11785" max="12039" width="9.109375" style="36"/>
    <col min="12040" max="12040" width="10.6640625" style="36" customWidth="1"/>
    <col min="12041" max="12295" width="9.109375" style="36"/>
    <col min="12296" max="12296" width="10.6640625" style="36" customWidth="1"/>
    <col min="12297" max="12551" width="9.109375" style="36"/>
    <col min="12552" max="12552" width="10.6640625" style="36" customWidth="1"/>
    <col min="12553" max="12807" width="9.109375" style="36"/>
    <col min="12808" max="12808" width="10.6640625" style="36" customWidth="1"/>
    <col min="12809" max="13063" width="9.109375" style="36"/>
    <col min="13064" max="13064" width="10.6640625" style="36" customWidth="1"/>
    <col min="13065" max="13319" width="9.109375" style="36"/>
    <col min="13320" max="13320" width="10.6640625" style="36" customWidth="1"/>
    <col min="13321" max="13575" width="9.109375" style="36"/>
    <col min="13576" max="13576" width="10.6640625" style="36" customWidth="1"/>
    <col min="13577" max="13831" width="9.109375" style="36"/>
    <col min="13832" max="13832" width="10.6640625" style="36" customWidth="1"/>
    <col min="13833" max="14087" width="9.109375" style="36"/>
    <col min="14088" max="14088" width="10.6640625" style="36" customWidth="1"/>
    <col min="14089" max="14343" width="9.109375" style="36"/>
    <col min="14344" max="14344" width="10.6640625" style="36" customWidth="1"/>
    <col min="14345" max="14599" width="9.109375" style="36"/>
    <col min="14600" max="14600" width="10.6640625" style="36" customWidth="1"/>
    <col min="14601" max="14855" width="9.109375" style="36"/>
    <col min="14856" max="14856" width="10.6640625" style="36" customWidth="1"/>
    <col min="14857" max="15111" width="9.109375" style="36"/>
    <col min="15112" max="15112" width="10.6640625" style="36" customWidth="1"/>
    <col min="15113" max="15367" width="9.109375" style="36"/>
    <col min="15368" max="15368" width="10.6640625" style="36" customWidth="1"/>
    <col min="15369" max="15623" width="9.109375" style="36"/>
    <col min="15624" max="15624" width="10.6640625" style="36" customWidth="1"/>
    <col min="15625" max="15879" width="9.109375" style="36"/>
    <col min="15880" max="15880" width="10.6640625" style="36" customWidth="1"/>
    <col min="15881" max="16135" width="9.109375" style="36"/>
    <col min="16136" max="16136" width="10.6640625" style="36" customWidth="1"/>
    <col min="16137" max="16384" width="9.109375" style="36"/>
  </cols>
  <sheetData>
    <row r="1" spans="1:15" ht="13.8" thickBot="1" x14ac:dyDescent="0.3">
      <c r="A1" s="21" t="s">
        <v>269</v>
      </c>
      <c r="B1" s="274" t="s">
        <v>402</v>
      </c>
      <c r="C1" s="37">
        <f>Drives!BA6</f>
        <v>38490.017945975058</v>
      </c>
      <c r="D1" s="38" t="s">
        <v>7</v>
      </c>
      <c r="E1" s="300">
        <v>0</v>
      </c>
      <c r="F1" s="301">
        <f>MAX(0.1,E1+100/C1)</f>
        <v>0.1</v>
      </c>
      <c r="G1" s="36" t="s">
        <v>1</v>
      </c>
      <c r="H1" s="39">
        <f>IF(J1=0,0,H4/J1)</f>
        <v>0</v>
      </c>
      <c r="I1" s="36" t="s">
        <v>13</v>
      </c>
      <c r="J1" s="40">
        <f>Drives!Z6</f>
        <v>0</v>
      </c>
      <c r="K1" s="36" t="s">
        <v>84</v>
      </c>
      <c r="N1" s="253">
        <v>0.99</v>
      </c>
      <c r="O1" s="36" t="s">
        <v>176</v>
      </c>
    </row>
    <row r="2" spans="1:15" x14ac:dyDescent="0.25">
      <c r="A2" s="35" t="s">
        <v>88</v>
      </c>
      <c r="B2" s="274">
        <v>6</v>
      </c>
      <c r="D2" s="36">
        <f>C4+1</f>
        <v>1</v>
      </c>
      <c r="E2" s="41">
        <f>F1-C3</f>
        <v>0</v>
      </c>
      <c r="J2" s="39">
        <f>IF(J1&gt;=0.6, 0.82+(J1-0.6)*0.45, IF(J1&gt;=0.4, 0.62+(J1-0.4)*1, IF(J1&gt;=0.2, 0.37+(J1-0.2)*1.25, J1*1.85)))</f>
        <v>0</v>
      </c>
      <c r="K2" s="36" t="s">
        <v>60</v>
      </c>
    </row>
    <row r="3" spans="1:15" ht="13.8" thickBot="1" x14ac:dyDescent="0.3">
      <c r="A3" s="36" t="s">
        <v>89</v>
      </c>
      <c r="C3" s="36">
        <f>HLOOKUP($F$1,$D$62:$U$113,(B3+1))</f>
        <v>0.1</v>
      </c>
      <c r="D3" s="36">
        <f>HLOOKUP($D$2,$D$61:$U$113,(B3+2))</f>
        <v>0.5</v>
      </c>
      <c r="E3" s="36">
        <f>D3-C3</f>
        <v>0.4</v>
      </c>
      <c r="F3" s="36">
        <f>IF(E3=0,1,E2/E3)</f>
        <v>0</v>
      </c>
      <c r="G3" s="32">
        <f>C3+(E3*F3)</f>
        <v>0.1</v>
      </c>
    </row>
    <row r="4" spans="1:15" ht="13.8" thickBot="1" x14ac:dyDescent="0.3">
      <c r="A4" s="36" t="s">
        <v>90</v>
      </c>
      <c r="B4" s="36">
        <v>1</v>
      </c>
      <c r="C4" s="36">
        <f t="shared" ref="C4:C53" si="0">HLOOKUP($F$1,$D$62:$U$113,(B4+1))</f>
        <v>0</v>
      </c>
      <c r="D4" s="36">
        <f t="shared" ref="D4:D53" si="1">HLOOKUP($D$2,$D$61:$U$113,(B4+2))</f>
        <v>1</v>
      </c>
      <c r="G4" s="41">
        <v>100</v>
      </c>
      <c r="H4" s="40">
        <f>Drives!AR6</f>
        <v>0</v>
      </c>
      <c r="I4" s="36" t="s">
        <v>53</v>
      </c>
    </row>
    <row r="5" spans="1:15" x14ac:dyDescent="0.25">
      <c r="B5" s="36">
        <v>2</v>
      </c>
      <c r="C5" s="52">
        <f t="shared" si="0"/>
        <v>1.7291324964220301E-2</v>
      </c>
      <c r="D5" s="52">
        <f t="shared" si="1"/>
        <v>6.6998018440489568E-2</v>
      </c>
      <c r="E5" s="52">
        <f t="shared" ref="E5:E53" si="2">D5-C5</f>
        <v>4.970669347626927E-2</v>
      </c>
      <c r="F5" s="39">
        <f t="shared" ref="F5:F53" si="3">E5*$F$3</f>
        <v>0</v>
      </c>
      <c r="G5" s="39">
        <f t="shared" ref="G5:G53" si="4">C5+F5</f>
        <v>1.7291324964220301E-2</v>
      </c>
      <c r="H5" s="42">
        <f>J$2*G5*$H$1/100</f>
        <v>0</v>
      </c>
    </row>
    <row r="6" spans="1:15" x14ac:dyDescent="0.25">
      <c r="A6" s="36" t="s">
        <v>93</v>
      </c>
      <c r="B6" s="36">
        <v>3</v>
      </c>
      <c r="C6" s="52">
        <f t="shared" si="0"/>
        <v>0.55385104430828935</v>
      </c>
      <c r="D6" s="52">
        <f t="shared" si="1"/>
        <v>8.5473774716319078</v>
      </c>
      <c r="E6" s="52">
        <f t="shared" si="2"/>
        <v>7.9935264273236184</v>
      </c>
      <c r="F6" s="39">
        <f t="shared" si="3"/>
        <v>0</v>
      </c>
      <c r="G6" s="39">
        <f t="shared" si="4"/>
        <v>0.55385104430828935</v>
      </c>
      <c r="H6" s="42">
        <f t="shared" ref="H6:H53" si="5">J$2*G6*$H$1/100</f>
        <v>0</v>
      </c>
    </row>
    <row r="7" spans="1:15" x14ac:dyDescent="0.25">
      <c r="A7" s="36" t="s">
        <v>92</v>
      </c>
      <c r="B7" s="36">
        <v>4</v>
      </c>
      <c r="C7" s="52">
        <f t="shared" si="0"/>
        <v>0.13520250276733159</v>
      </c>
      <c r="D7" s="52">
        <f t="shared" si="1"/>
        <v>2.8695360144102396E-2</v>
      </c>
      <c r="E7" s="52">
        <f t="shared" si="2"/>
        <v>-0.10650714262322919</v>
      </c>
      <c r="F7" s="39">
        <f t="shared" si="3"/>
        <v>0</v>
      </c>
      <c r="G7" s="39">
        <f t="shared" si="4"/>
        <v>0.13520250276733159</v>
      </c>
      <c r="H7" s="42">
        <f t="shared" si="5"/>
        <v>0</v>
      </c>
    </row>
    <row r="8" spans="1:15" x14ac:dyDescent="0.25">
      <c r="B8" s="36">
        <v>5</v>
      </c>
      <c r="C8" s="52">
        <f t="shared" si="0"/>
        <v>93.368748010282204</v>
      </c>
      <c r="D8" s="52">
        <f t="shared" si="1"/>
        <v>82.87682728374898</v>
      </c>
      <c r="E8" s="52">
        <f t="shared" si="2"/>
        <v>-10.491920726533223</v>
      </c>
      <c r="F8" s="39">
        <f t="shared" si="3"/>
        <v>0</v>
      </c>
      <c r="G8" s="39">
        <f t="shared" si="4"/>
        <v>93.368748010282204</v>
      </c>
      <c r="H8" s="42">
        <f t="shared" si="5"/>
        <v>0</v>
      </c>
    </row>
    <row r="9" spans="1:15" x14ac:dyDescent="0.25">
      <c r="B9" s="36">
        <v>6</v>
      </c>
      <c r="C9" s="52">
        <f t="shared" si="0"/>
        <v>6.8818496078623531E-2</v>
      </c>
      <c r="D9" s="52">
        <f t="shared" si="1"/>
        <v>5.2936191485114158E-2</v>
      </c>
      <c r="E9" s="52">
        <f t="shared" si="2"/>
        <v>-1.5882304593509373E-2</v>
      </c>
      <c r="F9" s="39">
        <f t="shared" si="3"/>
        <v>0</v>
      </c>
      <c r="G9" s="39">
        <f t="shared" si="4"/>
        <v>6.8818496078623531E-2</v>
      </c>
      <c r="H9" s="42">
        <f t="shared" si="5"/>
        <v>0</v>
      </c>
    </row>
    <row r="10" spans="1:15" x14ac:dyDescent="0.25">
      <c r="B10" s="36">
        <v>7</v>
      </c>
      <c r="C10" s="52">
        <f t="shared" si="0"/>
        <v>85.792929223620419</v>
      </c>
      <c r="D10" s="52">
        <f t="shared" si="1"/>
        <v>65.67536665068971</v>
      </c>
      <c r="E10" s="52">
        <f t="shared" si="2"/>
        <v>-20.117562572930709</v>
      </c>
      <c r="F10" s="39">
        <f t="shared" si="3"/>
        <v>0</v>
      </c>
      <c r="G10" s="39">
        <f t="shared" si="4"/>
        <v>85.792929223620419</v>
      </c>
      <c r="H10" s="42">
        <f t="shared" si="5"/>
        <v>0</v>
      </c>
    </row>
    <row r="11" spans="1:15" x14ac:dyDescent="0.25">
      <c r="B11" s="36">
        <v>8</v>
      </c>
      <c r="C11" s="52">
        <f t="shared" si="0"/>
        <v>0.15207091572872264</v>
      </c>
      <c r="D11" s="52">
        <f t="shared" si="1"/>
        <v>5.2891824469196221E-2</v>
      </c>
      <c r="E11" s="52">
        <f t="shared" si="2"/>
        <v>-9.9179091259526425E-2</v>
      </c>
      <c r="F11" s="39">
        <f t="shared" si="3"/>
        <v>0</v>
      </c>
      <c r="G11" s="39">
        <f t="shared" si="4"/>
        <v>0.15207091572872264</v>
      </c>
      <c r="H11" s="42">
        <f t="shared" si="5"/>
        <v>0</v>
      </c>
    </row>
    <row r="12" spans="1:15" x14ac:dyDescent="0.25">
      <c r="B12" s="36">
        <v>9</v>
      </c>
      <c r="C12" s="52">
        <f t="shared" si="0"/>
        <v>1.154353524821659</v>
      </c>
      <c r="D12" s="52">
        <f t="shared" si="1"/>
        <v>3.5914593530271834</v>
      </c>
      <c r="E12" s="52">
        <f t="shared" si="2"/>
        <v>2.4371058282055245</v>
      </c>
      <c r="F12" s="39">
        <f t="shared" si="3"/>
        <v>0</v>
      </c>
      <c r="G12" s="39">
        <f t="shared" si="4"/>
        <v>1.154353524821659</v>
      </c>
      <c r="H12" s="42">
        <f t="shared" si="5"/>
        <v>0</v>
      </c>
    </row>
    <row r="13" spans="1:15" x14ac:dyDescent="0.25">
      <c r="B13" s="36">
        <v>10</v>
      </c>
      <c r="C13" s="52">
        <f t="shared" si="0"/>
        <v>0.2294007148283545</v>
      </c>
      <c r="D13" s="52">
        <f t="shared" si="1"/>
        <v>4.67408371331944E-2</v>
      </c>
      <c r="E13" s="52">
        <f t="shared" si="2"/>
        <v>-0.18265987769516009</v>
      </c>
      <c r="F13" s="39">
        <f t="shared" si="3"/>
        <v>0</v>
      </c>
      <c r="G13" s="39">
        <f t="shared" si="4"/>
        <v>0.2294007148283545</v>
      </c>
      <c r="H13" s="42">
        <f t="shared" si="5"/>
        <v>0</v>
      </c>
    </row>
    <row r="14" spans="1:15" x14ac:dyDescent="0.25">
      <c r="B14" s="36">
        <v>11</v>
      </c>
      <c r="C14" s="52">
        <f t="shared" si="0"/>
        <v>69.048567707776243</v>
      </c>
      <c r="D14" s="52">
        <f t="shared" si="1"/>
        <v>33.685348584817774</v>
      </c>
      <c r="E14" s="52">
        <f t="shared" si="2"/>
        <v>-35.363219122958469</v>
      </c>
      <c r="F14" s="39">
        <f t="shared" si="3"/>
        <v>0</v>
      </c>
      <c r="G14" s="39">
        <f t="shared" si="4"/>
        <v>69.048567707776243</v>
      </c>
      <c r="H14" s="42">
        <f t="shared" si="5"/>
        <v>0</v>
      </c>
    </row>
    <row r="15" spans="1:15" x14ac:dyDescent="0.25">
      <c r="B15" s="36">
        <v>12</v>
      </c>
      <c r="C15" s="52">
        <f t="shared" si="0"/>
        <v>4.3926126021925166E-2</v>
      </c>
      <c r="D15" s="52">
        <f t="shared" si="1"/>
        <v>1.2877494467594758E-2</v>
      </c>
      <c r="E15" s="52">
        <f t="shared" si="2"/>
        <v>-3.1048631554330408E-2</v>
      </c>
      <c r="F15" s="39">
        <f t="shared" si="3"/>
        <v>0</v>
      </c>
      <c r="G15" s="39">
        <f t="shared" si="4"/>
        <v>4.3926126021925166E-2</v>
      </c>
      <c r="H15" s="42">
        <f t="shared" si="5"/>
        <v>0</v>
      </c>
    </row>
    <row r="16" spans="1:15" x14ac:dyDescent="0.25">
      <c r="B16" s="36">
        <v>13</v>
      </c>
      <c r="C16" s="52">
        <f t="shared" si="0"/>
        <v>57.626071680473594</v>
      </c>
      <c r="D16" s="52">
        <f t="shared" si="1"/>
        <v>19.008833408591933</v>
      </c>
      <c r="E16" s="52">
        <f t="shared" si="2"/>
        <v>-38.617238271881661</v>
      </c>
      <c r="F16" s="39">
        <f t="shared" si="3"/>
        <v>0</v>
      </c>
      <c r="G16" s="39">
        <f t="shared" si="4"/>
        <v>57.626071680473594</v>
      </c>
      <c r="H16" s="42">
        <f t="shared" si="5"/>
        <v>0</v>
      </c>
    </row>
    <row r="17" spans="2:8" x14ac:dyDescent="0.25">
      <c r="B17" s="36">
        <v>14</v>
      </c>
      <c r="C17" s="52">
        <f t="shared" si="0"/>
        <v>0.20927403927484672</v>
      </c>
      <c r="D17" s="52">
        <f t="shared" si="1"/>
        <v>5.5602611265487843E-2</v>
      </c>
      <c r="E17" s="52">
        <f t="shared" si="2"/>
        <v>-0.15367142800935887</v>
      </c>
      <c r="F17" s="39">
        <f t="shared" si="3"/>
        <v>0</v>
      </c>
      <c r="G17" s="39">
        <f t="shared" si="4"/>
        <v>0.20927403927484672</v>
      </c>
      <c r="H17" s="42">
        <f t="shared" si="5"/>
        <v>0</v>
      </c>
    </row>
    <row r="18" spans="2:8" x14ac:dyDescent="0.25">
      <c r="B18" s="36">
        <v>15</v>
      </c>
      <c r="C18" s="52">
        <f t="shared" si="0"/>
        <v>1.136851568371505</v>
      </c>
      <c r="D18" s="52">
        <f t="shared" si="1"/>
        <v>0.23095610968918576</v>
      </c>
      <c r="E18" s="52">
        <f t="shared" si="2"/>
        <v>-0.90589545868231924</v>
      </c>
      <c r="F18" s="39">
        <f t="shared" si="3"/>
        <v>0</v>
      </c>
      <c r="G18" s="39">
        <f t="shared" si="4"/>
        <v>1.136851568371505</v>
      </c>
      <c r="H18" s="42">
        <f t="shared" si="5"/>
        <v>0</v>
      </c>
    </row>
    <row r="19" spans="2:8" x14ac:dyDescent="0.25">
      <c r="B19" s="36">
        <v>16</v>
      </c>
      <c r="C19" s="52">
        <f t="shared" si="0"/>
        <v>0.21260480542905863</v>
      </c>
      <c r="D19" s="52">
        <f t="shared" si="1"/>
        <v>5.5251059810874539E-2</v>
      </c>
      <c r="E19" s="52">
        <f t="shared" si="2"/>
        <v>-0.1573537456181841</v>
      </c>
      <c r="F19" s="39">
        <f t="shared" si="3"/>
        <v>0</v>
      </c>
      <c r="G19" s="39">
        <f t="shared" si="4"/>
        <v>0.21260480542905863</v>
      </c>
      <c r="H19" s="42">
        <f t="shared" si="5"/>
        <v>0</v>
      </c>
    </row>
    <row r="20" spans="2:8" x14ac:dyDescent="0.25">
      <c r="B20" s="36">
        <v>17</v>
      </c>
      <c r="C20" s="52">
        <f t="shared" si="0"/>
        <v>38.305868434141544</v>
      </c>
      <c r="D20" s="52">
        <f t="shared" si="1"/>
        <v>5.2999903687276673</v>
      </c>
      <c r="E20" s="52">
        <f t="shared" si="2"/>
        <v>-33.005878065413874</v>
      </c>
      <c r="F20" s="39">
        <f t="shared" si="3"/>
        <v>0</v>
      </c>
      <c r="G20" s="39">
        <f t="shared" si="4"/>
        <v>38.305868434141544</v>
      </c>
      <c r="H20" s="42">
        <f t="shared" si="5"/>
        <v>0</v>
      </c>
    </row>
    <row r="21" spans="2:8" x14ac:dyDescent="0.25">
      <c r="B21" s="36">
        <v>18</v>
      </c>
      <c r="C21" s="52">
        <f t="shared" si="0"/>
        <v>6.8073317161051342E-3</v>
      </c>
      <c r="D21" s="52">
        <f t="shared" si="1"/>
        <v>4.4855023970696963E-3</v>
      </c>
      <c r="E21" s="52">
        <f t="shared" si="2"/>
        <v>-2.3218293190354379E-3</v>
      </c>
      <c r="F21" s="39">
        <f t="shared" si="3"/>
        <v>0</v>
      </c>
      <c r="G21" s="39">
        <f t="shared" si="4"/>
        <v>6.8073317161051342E-3</v>
      </c>
      <c r="H21" s="42">
        <f t="shared" si="5"/>
        <v>0</v>
      </c>
    </row>
    <row r="22" spans="2:8" x14ac:dyDescent="0.25">
      <c r="B22" s="36">
        <v>19</v>
      </c>
      <c r="C22" s="52">
        <f t="shared" si="0"/>
        <v>28.12675018493254</v>
      </c>
      <c r="D22" s="52">
        <f t="shared" si="1"/>
        <v>5.7694235730205383</v>
      </c>
      <c r="E22" s="52">
        <f t="shared" si="2"/>
        <v>-22.357326611912001</v>
      </c>
      <c r="F22" s="39">
        <f t="shared" si="3"/>
        <v>0</v>
      </c>
      <c r="G22" s="39">
        <f t="shared" si="4"/>
        <v>28.12675018493254</v>
      </c>
      <c r="H22" s="42">
        <f t="shared" si="5"/>
        <v>0</v>
      </c>
    </row>
    <row r="23" spans="2:8" x14ac:dyDescent="0.25">
      <c r="B23" s="36">
        <v>20</v>
      </c>
      <c r="C23" s="52">
        <f t="shared" si="0"/>
        <v>0.16228025606892954</v>
      </c>
      <c r="D23" s="52">
        <f t="shared" si="1"/>
        <v>3.4304595434386999E-2</v>
      </c>
      <c r="E23" s="52">
        <f t="shared" si="2"/>
        <v>-0.12797566063454255</v>
      </c>
      <c r="F23" s="39">
        <f t="shared" si="3"/>
        <v>0</v>
      </c>
      <c r="G23" s="39">
        <f t="shared" si="4"/>
        <v>0.16228025606892954</v>
      </c>
      <c r="H23" s="42">
        <f t="shared" si="5"/>
        <v>0</v>
      </c>
    </row>
    <row r="24" spans="2:8" x14ac:dyDescent="0.25">
      <c r="B24" s="36">
        <v>21</v>
      </c>
      <c r="C24" s="52">
        <f t="shared" si="0"/>
        <v>0.62329316321319206</v>
      </c>
      <c r="D24" s="52">
        <f t="shared" si="1"/>
        <v>0.38652912360520963</v>
      </c>
      <c r="E24" s="52">
        <f t="shared" si="2"/>
        <v>-0.23676403960798242</v>
      </c>
      <c r="F24" s="39">
        <f t="shared" si="3"/>
        <v>0</v>
      </c>
      <c r="G24" s="39">
        <f t="shared" si="4"/>
        <v>0.62329316321319206</v>
      </c>
      <c r="H24" s="42">
        <f t="shared" si="5"/>
        <v>0</v>
      </c>
    </row>
    <row r="25" spans="2:8" x14ac:dyDescent="0.25">
      <c r="B25" s="36">
        <v>22</v>
      </c>
      <c r="C25" s="52">
        <f t="shared" si="0"/>
        <v>0.10196628651957353</v>
      </c>
      <c r="D25" s="52">
        <f t="shared" si="1"/>
        <v>3.8702088424270906E-2</v>
      </c>
      <c r="E25" s="52">
        <f t="shared" si="2"/>
        <v>-6.3264198095302621E-2</v>
      </c>
      <c r="F25" s="39">
        <f t="shared" si="3"/>
        <v>0</v>
      </c>
      <c r="G25" s="39">
        <f t="shared" si="4"/>
        <v>0.10196628651957353</v>
      </c>
      <c r="H25" s="42">
        <f t="shared" si="5"/>
        <v>0</v>
      </c>
    </row>
    <row r="26" spans="2:8" x14ac:dyDescent="0.25">
      <c r="B26" s="36">
        <v>23</v>
      </c>
      <c r="C26" s="52">
        <f t="shared" si="0"/>
        <v>14.111336248333169</v>
      </c>
      <c r="D26" s="52">
        <f t="shared" si="1"/>
        <v>4.5502762773923147</v>
      </c>
      <c r="E26" s="52">
        <f t="shared" si="2"/>
        <v>-9.5610599709408532</v>
      </c>
      <c r="F26" s="39">
        <f t="shared" si="3"/>
        <v>0</v>
      </c>
      <c r="G26" s="39">
        <f t="shared" si="4"/>
        <v>14.111336248333169</v>
      </c>
      <c r="H26" s="42">
        <f t="shared" si="5"/>
        <v>0</v>
      </c>
    </row>
    <row r="27" spans="2:8" x14ac:dyDescent="0.25">
      <c r="B27" s="36">
        <v>24</v>
      </c>
      <c r="C27" s="52">
        <f t="shared" si="0"/>
        <v>3.6824454901743818E-2</v>
      </c>
      <c r="D27" s="52">
        <f t="shared" si="1"/>
        <v>9.8382681602157043E-3</v>
      </c>
      <c r="E27" s="52">
        <f t="shared" si="2"/>
        <v>-2.6986186741528112E-2</v>
      </c>
      <c r="F27" s="39">
        <f t="shared" si="3"/>
        <v>0</v>
      </c>
      <c r="G27" s="39">
        <f t="shared" si="4"/>
        <v>3.6824454901743818E-2</v>
      </c>
      <c r="H27" s="42">
        <f t="shared" si="5"/>
        <v>0</v>
      </c>
    </row>
    <row r="28" spans="2:8" x14ac:dyDescent="0.25">
      <c r="B28" s="36">
        <v>25</v>
      </c>
      <c r="C28" s="52">
        <f t="shared" si="0"/>
        <v>9.1460847189836905</v>
      </c>
      <c r="D28" s="52">
        <f t="shared" si="1"/>
        <v>3.3287755929835949</v>
      </c>
      <c r="E28" s="52">
        <f t="shared" si="2"/>
        <v>-5.8173091260000955</v>
      </c>
      <c r="F28" s="39">
        <f t="shared" si="3"/>
        <v>0</v>
      </c>
      <c r="G28" s="39">
        <f t="shared" si="4"/>
        <v>9.1460847189836905</v>
      </c>
      <c r="H28" s="42">
        <f t="shared" si="5"/>
        <v>0</v>
      </c>
    </row>
    <row r="29" spans="2:8" x14ac:dyDescent="0.25">
      <c r="B29" s="36">
        <v>26</v>
      </c>
      <c r="C29" s="52">
        <f t="shared" si="0"/>
        <v>5.0821504219815294E-2</v>
      </c>
      <c r="D29" s="52">
        <f t="shared" si="1"/>
        <v>5.5062549483802257E-2</v>
      </c>
      <c r="E29" s="52">
        <f t="shared" si="2"/>
        <v>4.2410452639869631E-3</v>
      </c>
      <c r="F29" s="39">
        <f t="shared" si="3"/>
        <v>0</v>
      </c>
      <c r="G29" s="39">
        <f t="shared" si="4"/>
        <v>5.0821504219815294E-2</v>
      </c>
      <c r="H29" s="42">
        <f t="shared" si="5"/>
        <v>0</v>
      </c>
    </row>
    <row r="30" spans="2:8" x14ac:dyDescent="0.25">
      <c r="B30" s="36">
        <v>27</v>
      </c>
      <c r="C30" s="52">
        <f t="shared" si="0"/>
        <v>0.21238680360962095</v>
      </c>
      <c r="D30" s="52">
        <f t="shared" si="1"/>
        <v>0.25707405179893289</v>
      </c>
      <c r="E30" s="52">
        <f t="shared" si="2"/>
        <v>4.468724818931194E-2</v>
      </c>
      <c r="F30" s="39">
        <f t="shared" si="3"/>
        <v>0</v>
      </c>
      <c r="G30" s="39">
        <f t="shared" si="4"/>
        <v>0.21238680360962095</v>
      </c>
      <c r="H30" s="42">
        <f t="shared" si="5"/>
        <v>0</v>
      </c>
    </row>
    <row r="31" spans="2:8" x14ac:dyDescent="0.25">
      <c r="B31" s="36">
        <v>28</v>
      </c>
      <c r="C31" s="52">
        <f t="shared" si="0"/>
        <v>1.9392625777396737E-2</v>
      </c>
      <c r="D31" s="52">
        <f t="shared" si="1"/>
        <v>4.7102518518670457E-2</v>
      </c>
      <c r="E31" s="52">
        <f t="shared" si="2"/>
        <v>2.7709892741273719E-2</v>
      </c>
      <c r="F31" s="39">
        <f t="shared" si="3"/>
        <v>0</v>
      </c>
      <c r="G31" s="39">
        <f t="shared" si="4"/>
        <v>1.9392625777396737E-2</v>
      </c>
      <c r="H31" s="42">
        <f t="shared" si="5"/>
        <v>0</v>
      </c>
    </row>
    <row r="32" spans="2:8" x14ac:dyDescent="0.25">
      <c r="B32" s="36">
        <v>29</v>
      </c>
      <c r="C32" s="52">
        <f t="shared" si="0"/>
        <v>6.5146861253923207</v>
      </c>
      <c r="D32" s="52">
        <f t="shared" si="1"/>
        <v>2.6788137999966111</v>
      </c>
      <c r="E32" s="52">
        <f t="shared" si="2"/>
        <v>-3.8358723253957097</v>
      </c>
      <c r="F32" s="39">
        <f t="shared" si="3"/>
        <v>0</v>
      </c>
      <c r="G32" s="39">
        <f t="shared" si="4"/>
        <v>6.5146861253923207</v>
      </c>
      <c r="H32" s="42">
        <f t="shared" si="5"/>
        <v>0</v>
      </c>
    </row>
    <row r="33" spans="2:8" x14ac:dyDescent="0.25">
      <c r="B33" s="36">
        <v>30</v>
      </c>
      <c r="C33" s="52">
        <f t="shared" si="0"/>
        <v>3.4884370898550648E-2</v>
      </c>
      <c r="D33" s="52">
        <f t="shared" si="1"/>
        <v>4.1765772225850796E-3</v>
      </c>
      <c r="E33" s="52">
        <f t="shared" si="2"/>
        <v>-3.0707793675965569E-2</v>
      </c>
      <c r="F33" s="39">
        <f t="shared" si="3"/>
        <v>0</v>
      </c>
      <c r="G33" s="39">
        <f t="shared" si="4"/>
        <v>3.4884370898550648E-2</v>
      </c>
      <c r="H33" s="42">
        <f t="shared" si="5"/>
        <v>0</v>
      </c>
    </row>
    <row r="34" spans="2:8" x14ac:dyDescent="0.25">
      <c r="B34" s="36">
        <v>31</v>
      </c>
      <c r="C34" s="52">
        <f t="shared" si="0"/>
        <v>6.3339107327432735</v>
      </c>
      <c r="D34" s="52">
        <f t="shared" si="1"/>
        <v>2.4858685050570775</v>
      </c>
      <c r="E34" s="52">
        <f t="shared" si="2"/>
        <v>-3.8480422276861961</v>
      </c>
      <c r="F34" s="39">
        <f t="shared" si="3"/>
        <v>0</v>
      </c>
      <c r="G34" s="39">
        <f t="shared" si="4"/>
        <v>6.3339107327432735</v>
      </c>
      <c r="H34" s="42">
        <f t="shared" si="5"/>
        <v>0</v>
      </c>
    </row>
    <row r="35" spans="2:8" x14ac:dyDescent="0.25">
      <c r="B35" s="36">
        <v>32</v>
      </c>
      <c r="C35" s="52">
        <f t="shared" si="0"/>
        <v>4.6506205535545839E-2</v>
      </c>
      <c r="D35" s="52">
        <f t="shared" si="1"/>
        <v>3.3260518350729629E-2</v>
      </c>
      <c r="E35" s="52">
        <f t="shared" si="2"/>
        <v>-1.324568718481621E-2</v>
      </c>
      <c r="F35" s="39">
        <f t="shared" si="3"/>
        <v>0</v>
      </c>
      <c r="G35" s="39">
        <f t="shared" si="4"/>
        <v>4.6506205535545839E-2</v>
      </c>
      <c r="H35" s="42">
        <f t="shared" si="5"/>
        <v>0</v>
      </c>
    </row>
    <row r="36" spans="2:8" x14ac:dyDescent="0.25">
      <c r="B36" s="36">
        <v>33</v>
      </c>
      <c r="C36" s="52">
        <f t="shared" si="0"/>
        <v>0.30274927892914244</v>
      </c>
      <c r="D36" s="52">
        <f t="shared" si="1"/>
        <v>1.7216657169820748E-2</v>
      </c>
      <c r="E36" s="52">
        <f t="shared" si="2"/>
        <v>-0.2855326217593217</v>
      </c>
      <c r="F36" s="39">
        <f t="shared" si="3"/>
        <v>0</v>
      </c>
      <c r="G36" s="39">
        <f t="shared" si="4"/>
        <v>0.30274927892914244</v>
      </c>
      <c r="H36" s="42">
        <f t="shared" si="5"/>
        <v>0</v>
      </c>
    </row>
    <row r="37" spans="2:8" x14ac:dyDescent="0.25">
      <c r="B37" s="36">
        <v>34</v>
      </c>
      <c r="C37" s="52">
        <f t="shared" si="0"/>
        <v>0.15658261184107439</v>
      </c>
      <c r="D37" s="52">
        <f t="shared" si="1"/>
        <v>6.9206297258360139E-2</v>
      </c>
      <c r="E37" s="52">
        <f t="shared" si="2"/>
        <v>-8.7376314582714248E-2</v>
      </c>
      <c r="F37" s="39">
        <f t="shared" si="3"/>
        <v>0</v>
      </c>
      <c r="G37" s="39">
        <f t="shared" si="4"/>
        <v>0.15658261184107439</v>
      </c>
      <c r="H37" s="42">
        <f t="shared" si="5"/>
        <v>0</v>
      </c>
    </row>
    <row r="38" spans="2:8" x14ac:dyDescent="0.25">
      <c r="B38" s="36">
        <v>35</v>
      </c>
      <c r="C38" s="52">
        <f t="shared" si="0"/>
        <v>5.9029852258662023</v>
      </c>
      <c r="D38" s="52">
        <f t="shared" si="1"/>
        <v>1.4733260588243429</v>
      </c>
      <c r="E38" s="52">
        <f t="shared" si="2"/>
        <v>-4.4296591670418595</v>
      </c>
      <c r="F38" s="39">
        <f t="shared" si="3"/>
        <v>0</v>
      </c>
      <c r="G38" s="39">
        <f t="shared" si="4"/>
        <v>5.9029852258662023</v>
      </c>
      <c r="H38" s="42">
        <f t="shared" si="5"/>
        <v>0</v>
      </c>
    </row>
    <row r="39" spans="2:8" x14ac:dyDescent="0.25">
      <c r="B39" s="36">
        <v>36</v>
      </c>
      <c r="C39" s="52">
        <f t="shared" si="0"/>
        <v>0.15658261184107439</v>
      </c>
      <c r="D39" s="52">
        <f t="shared" si="1"/>
        <v>6.9206297258360139E-2</v>
      </c>
      <c r="E39" s="52">
        <f t="shared" si="2"/>
        <v>-8.7376314582714248E-2</v>
      </c>
      <c r="F39" s="39">
        <f t="shared" si="3"/>
        <v>0</v>
      </c>
      <c r="G39" s="39">
        <f t="shared" si="4"/>
        <v>0.15658261184107439</v>
      </c>
      <c r="H39" s="42">
        <f t="shared" si="5"/>
        <v>0</v>
      </c>
    </row>
    <row r="40" spans="2:8" x14ac:dyDescent="0.25">
      <c r="B40" s="36">
        <v>37</v>
      </c>
      <c r="C40" s="52">
        <f t="shared" si="0"/>
        <v>4.7242605294817244</v>
      </c>
      <c r="D40" s="52">
        <f t="shared" si="1"/>
        <v>1.4147795985274163</v>
      </c>
      <c r="E40" s="52">
        <f t="shared" si="2"/>
        <v>-3.3094809309543081</v>
      </c>
      <c r="F40" s="39">
        <f t="shared" si="3"/>
        <v>0</v>
      </c>
      <c r="G40" s="39">
        <f t="shared" si="4"/>
        <v>4.7242605294817244</v>
      </c>
      <c r="H40" s="42">
        <f t="shared" si="5"/>
        <v>0</v>
      </c>
    </row>
    <row r="41" spans="2:8" x14ac:dyDescent="0.25">
      <c r="B41" s="36">
        <v>38</v>
      </c>
      <c r="C41" s="52">
        <f t="shared" si="0"/>
        <v>0.15658261184107439</v>
      </c>
      <c r="D41" s="52">
        <f t="shared" si="1"/>
        <v>6.9206297258360139E-2</v>
      </c>
      <c r="E41" s="52">
        <f t="shared" si="2"/>
        <v>-8.7376314582714248E-2</v>
      </c>
      <c r="F41" s="39">
        <f t="shared" si="3"/>
        <v>0</v>
      </c>
      <c r="G41" s="39">
        <f t="shared" si="4"/>
        <v>0.15658261184107439</v>
      </c>
      <c r="H41" s="42">
        <f t="shared" si="5"/>
        <v>0</v>
      </c>
    </row>
    <row r="42" spans="2:8" x14ac:dyDescent="0.25">
      <c r="B42" s="36">
        <v>39</v>
      </c>
      <c r="C42" s="52">
        <f t="shared" si="0"/>
        <v>0.2079850899943797</v>
      </c>
      <c r="D42" s="52">
        <f t="shared" si="1"/>
        <v>0.13041647508011303</v>
      </c>
      <c r="E42" s="52">
        <f t="shared" si="2"/>
        <v>-7.756861491426667E-2</v>
      </c>
      <c r="F42" s="39">
        <f t="shared" si="3"/>
        <v>0</v>
      </c>
      <c r="G42" s="39">
        <f t="shared" si="4"/>
        <v>0.2079850899943797</v>
      </c>
      <c r="H42" s="42">
        <f t="shared" si="5"/>
        <v>0</v>
      </c>
    </row>
    <row r="43" spans="2:8" x14ac:dyDescent="0.25">
      <c r="B43" s="36">
        <v>40</v>
      </c>
      <c r="C43" s="52">
        <f t="shared" si="0"/>
        <v>0.15658261184107439</v>
      </c>
      <c r="D43" s="52">
        <f t="shared" si="1"/>
        <v>6.9206297258360139E-2</v>
      </c>
      <c r="E43" s="52">
        <f t="shared" si="2"/>
        <v>-8.7376314582714248E-2</v>
      </c>
      <c r="F43" s="39">
        <f t="shared" si="3"/>
        <v>0</v>
      </c>
      <c r="G43" s="39">
        <f t="shared" si="4"/>
        <v>0.15658261184107439</v>
      </c>
      <c r="H43" s="42">
        <f t="shared" si="5"/>
        <v>0</v>
      </c>
    </row>
    <row r="44" spans="2:8" x14ac:dyDescent="0.25">
      <c r="B44" s="36">
        <v>41</v>
      </c>
      <c r="C44" s="52">
        <f t="shared" si="0"/>
        <v>2.9593523720748518</v>
      </c>
      <c r="D44" s="52">
        <f t="shared" si="1"/>
        <v>1.3960448536050045</v>
      </c>
      <c r="E44" s="52">
        <f t="shared" si="2"/>
        <v>-1.5633075184698473</v>
      </c>
      <c r="F44" s="39">
        <f t="shared" si="3"/>
        <v>0</v>
      </c>
      <c r="G44" s="39">
        <f t="shared" si="4"/>
        <v>2.9593523720748518</v>
      </c>
      <c r="H44" s="42">
        <f t="shared" si="5"/>
        <v>0</v>
      </c>
    </row>
    <row r="45" spans="2:8" x14ac:dyDescent="0.25">
      <c r="B45" s="36">
        <v>42</v>
      </c>
      <c r="C45" s="52">
        <f t="shared" si="0"/>
        <v>0.15658261184107439</v>
      </c>
      <c r="D45" s="52">
        <f t="shared" si="1"/>
        <v>6.9206297258360139E-2</v>
      </c>
      <c r="E45" s="52">
        <f t="shared" si="2"/>
        <v>-8.7376314582714248E-2</v>
      </c>
      <c r="F45" s="39">
        <f t="shared" si="3"/>
        <v>0</v>
      </c>
      <c r="G45" s="39">
        <f t="shared" si="4"/>
        <v>0.15658261184107439</v>
      </c>
      <c r="H45" s="42">
        <f t="shared" si="5"/>
        <v>0</v>
      </c>
    </row>
    <row r="46" spans="2:8" x14ac:dyDescent="0.25">
      <c r="B46" s="36">
        <v>43</v>
      </c>
      <c r="C46" s="52">
        <f t="shared" si="0"/>
        <v>2.2178560512821952</v>
      </c>
      <c r="D46" s="52">
        <f t="shared" si="1"/>
        <v>1.1905972320783262</v>
      </c>
      <c r="E46" s="52">
        <f t="shared" si="2"/>
        <v>-1.027258819203869</v>
      </c>
      <c r="F46" s="39">
        <f t="shared" si="3"/>
        <v>0</v>
      </c>
      <c r="G46" s="39">
        <f t="shared" si="4"/>
        <v>2.2178560512821952</v>
      </c>
      <c r="H46" s="42">
        <f t="shared" si="5"/>
        <v>0</v>
      </c>
    </row>
    <row r="47" spans="2:8" x14ac:dyDescent="0.25">
      <c r="B47" s="36">
        <v>44</v>
      </c>
      <c r="C47" s="52">
        <f t="shared" si="0"/>
        <v>0.15658261184107439</v>
      </c>
      <c r="D47" s="52">
        <f t="shared" si="1"/>
        <v>6.9206297258360139E-2</v>
      </c>
      <c r="E47" s="52">
        <f t="shared" si="2"/>
        <v>-8.7376314582714248E-2</v>
      </c>
      <c r="F47" s="39">
        <f t="shared" si="3"/>
        <v>0</v>
      </c>
      <c r="G47" s="39">
        <f t="shared" si="4"/>
        <v>0.15658261184107439</v>
      </c>
      <c r="H47" s="42">
        <f t="shared" si="5"/>
        <v>0</v>
      </c>
    </row>
    <row r="48" spans="2:8" x14ac:dyDescent="0.25">
      <c r="B48" s="36">
        <v>45</v>
      </c>
      <c r="C48" s="52">
        <f t="shared" si="0"/>
        <v>0.15674381381219379</v>
      </c>
      <c r="D48" s="52">
        <f t="shared" si="1"/>
        <v>6.9135515452953725E-2</v>
      </c>
      <c r="E48" s="52">
        <f t="shared" si="2"/>
        <v>-8.7608298359240069E-2</v>
      </c>
      <c r="F48" s="39">
        <f t="shared" si="3"/>
        <v>0</v>
      </c>
      <c r="G48" s="39">
        <f t="shared" si="4"/>
        <v>0.15674381381219379</v>
      </c>
      <c r="H48" s="42">
        <f t="shared" si="5"/>
        <v>0</v>
      </c>
    </row>
    <row r="49" spans="1:31" x14ac:dyDescent="0.25">
      <c r="B49" s="36">
        <v>46</v>
      </c>
      <c r="C49" s="52">
        <f t="shared" si="0"/>
        <v>0.15658261184107439</v>
      </c>
      <c r="D49" s="52">
        <f t="shared" si="1"/>
        <v>6.9206297258360139E-2</v>
      </c>
      <c r="E49" s="52">
        <f t="shared" si="2"/>
        <v>-8.7376314582714248E-2</v>
      </c>
      <c r="F49" s="39">
        <f t="shared" si="3"/>
        <v>0</v>
      </c>
      <c r="G49" s="39">
        <f t="shared" si="4"/>
        <v>0.15658261184107439</v>
      </c>
      <c r="H49" s="42">
        <f t="shared" si="5"/>
        <v>0</v>
      </c>
    </row>
    <row r="50" spans="1:31" x14ac:dyDescent="0.25">
      <c r="B50" s="36">
        <v>47</v>
      </c>
      <c r="C50" s="52">
        <f t="shared" si="0"/>
        <v>2.3268630691236321</v>
      </c>
      <c r="D50" s="52">
        <f t="shared" si="1"/>
        <v>0.78641478977548207</v>
      </c>
      <c r="E50" s="52">
        <f t="shared" si="2"/>
        <v>-1.54044827934815</v>
      </c>
      <c r="F50" s="39">
        <f t="shared" si="3"/>
        <v>0</v>
      </c>
      <c r="G50" s="39">
        <f t="shared" si="4"/>
        <v>2.3268630691236321</v>
      </c>
      <c r="H50" s="42">
        <f t="shared" si="5"/>
        <v>0</v>
      </c>
    </row>
    <row r="51" spans="1:31" x14ac:dyDescent="0.25">
      <c r="B51" s="36">
        <v>48</v>
      </c>
      <c r="C51" s="52">
        <f t="shared" si="0"/>
        <v>0.15658261184107439</v>
      </c>
      <c r="D51" s="52">
        <f t="shared" si="1"/>
        <v>6.9206297258360139E-2</v>
      </c>
      <c r="E51" s="52">
        <f t="shared" si="2"/>
        <v>-8.7376314582714248E-2</v>
      </c>
      <c r="F51" s="39">
        <f t="shared" si="3"/>
        <v>0</v>
      </c>
      <c r="G51" s="39">
        <f t="shared" si="4"/>
        <v>0.15658261184107439</v>
      </c>
      <c r="H51" s="42">
        <f t="shared" si="5"/>
        <v>0</v>
      </c>
    </row>
    <row r="52" spans="1:31" x14ac:dyDescent="0.25">
      <c r="B52" s="36">
        <v>49</v>
      </c>
      <c r="C52" s="52">
        <f t="shared" si="0"/>
        <v>2.222090686942058</v>
      </c>
      <c r="D52" s="52">
        <f t="shared" si="1"/>
        <v>0.8231320290067401</v>
      </c>
      <c r="E52" s="52">
        <f t="shared" si="2"/>
        <v>-1.3989586579353179</v>
      </c>
      <c r="F52" s="39">
        <f t="shared" si="3"/>
        <v>0</v>
      </c>
      <c r="G52" s="39">
        <f t="shared" si="4"/>
        <v>2.222090686942058</v>
      </c>
      <c r="H52" s="42">
        <f t="shared" si="5"/>
        <v>0</v>
      </c>
    </row>
    <row r="53" spans="1:31" x14ac:dyDescent="0.25">
      <c r="B53" s="36">
        <v>50</v>
      </c>
      <c r="C53" s="52">
        <f t="shared" si="0"/>
        <v>0.15658261184107439</v>
      </c>
      <c r="D53" s="52">
        <f t="shared" si="1"/>
        <v>6.9206297258360139E-2</v>
      </c>
      <c r="E53" s="52">
        <f t="shared" si="2"/>
        <v>-8.7376314582714248E-2</v>
      </c>
      <c r="F53" s="39">
        <f t="shared" si="3"/>
        <v>0</v>
      </c>
      <c r="G53" s="39">
        <f t="shared" si="4"/>
        <v>0.15658261184107439</v>
      </c>
      <c r="H53" s="42">
        <f t="shared" si="5"/>
        <v>0</v>
      </c>
    </row>
    <row r="54" spans="1:31" x14ac:dyDescent="0.25">
      <c r="C54" s="52"/>
      <c r="D54" s="52"/>
      <c r="E54" s="46"/>
      <c r="F54" s="46"/>
      <c r="G54" s="46"/>
      <c r="H54" s="42"/>
    </row>
    <row r="55" spans="1:31" x14ac:dyDescent="0.25">
      <c r="F55" s="36" t="s">
        <v>61</v>
      </c>
      <c r="G55" s="39">
        <f>IF(H4=0,0,100*H55/H4)</f>
        <v>0</v>
      </c>
      <c r="H55" s="39">
        <f>SQRT(SUMSQ(H5:H53))</f>
        <v>0</v>
      </c>
      <c r="I55" s="36" t="s">
        <v>52</v>
      </c>
    </row>
    <row r="56" spans="1:31" x14ac:dyDescent="0.25">
      <c r="F56" s="36" t="s">
        <v>62</v>
      </c>
      <c r="G56" s="39">
        <f>SQRT(SUMSQ(G4:G53))</f>
        <v>192.03016676888527</v>
      </c>
      <c r="H56" s="39">
        <f>SQRT(SUMSQ(H4:H53))</f>
        <v>0</v>
      </c>
      <c r="I56" s="36" t="s">
        <v>54</v>
      </c>
    </row>
    <row r="59" spans="1:31" x14ac:dyDescent="0.25">
      <c r="A59" s="21" t="s">
        <v>63</v>
      </c>
    </row>
    <row r="60" spans="1:31" ht="14.4" x14ac:dyDescent="0.3">
      <c r="C60" s="1" t="s">
        <v>478</v>
      </c>
      <c r="D60" s="7">
        <f>100/D62</f>
        <v>1000</v>
      </c>
      <c r="E60" s="7">
        <f t="shared" ref="E60:U60" si="6">100/E62</f>
        <v>200</v>
      </c>
      <c r="F60" s="7">
        <f t="shared" si="6"/>
        <v>100</v>
      </c>
      <c r="G60" s="7">
        <f t="shared" si="6"/>
        <v>50</v>
      </c>
      <c r="H60" s="7">
        <f t="shared" si="6"/>
        <v>33.333333333333336</v>
      </c>
      <c r="I60" s="7">
        <f t="shared" si="6"/>
        <v>25</v>
      </c>
      <c r="J60" s="7">
        <f t="shared" si="6"/>
        <v>20</v>
      </c>
      <c r="K60" s="7">
        <f t="shared" si="6"/>
        <v>16.666666666666668</v>
      </c>
      <c r="L60" s="7">
        <f t="shared" si="6"/>
        <v>14.285714285714286</v>
      </c>
      <c r="M60" s="7">
        <f t="shared" si="6"/>
        <v>12.5</v>
      </c>
      <c r="N60" s="7">
        <f t="shared" si="6"/>
        <v>10</v>
      </c>
      <c r="O60" s="7">
        <f t="shared" si="6"/>
        <v>8.3333333333333339</v>
      </c>
      <c r="P60" s="7">
        <f t="shared" si="6"/>
        <v>7.1428571428571432</v>
      </c>
      <c r="Q60" s="7">
        <f t="shared" si="6"/>
        <v>5.5555555555555554</v>
      </c>
      <c r="R60" s="7">
        <f t="shared" si="6"/>
        <v>4.7619047619047619</v>
      </c>
      <c r="S60" s="7">
        <f t="shared" si="6"/>
        <v>1</v>
      </c>
      <c r="T60" s="7">
        <f t="shared" si="6"/>
        <v>0.1</v>
      </c>
      <c r="U60" s="7">
        <f t="shared" si="6"/>
        <v>0.01</v>
      </c>
    </row>
    <row r="61" spans="1:31" ht="14.4" x14ac:dyDescent="0.3">
      <c r="C61" s="1" t="s">
        <v>64</v>
      </c>
      <c r="D61">
        <v>0</v>
      </c>
      <c r="E61">
        <v>1</v>
      </c>
      <c r="F61">
        <v>2</v>
      </c>
      <c r="G61">
        <v>3</v>
      </c>
      <c r="H61">
        <v>4</v>
      </c>
      <c r="I61">
        <v>5</v>
      </c>
      <c r="J61">
        <v>6</v>
      </c>
      <c r="K61">
        <v>7</v>
      </c>
      <c r="L61">
        <v>8</v>
      </c>
      <c r="M61">
        <v>9</v>
      </c>
      <c r="N61">
        <v>10</v>
      </c>
      <c r="O61">
        <v>11</v>
      </c>
      <c r="P61">
        <v>12</v>
      </c>
      <c r="Q61">
        <v>13</v>
      </c>
      <c r="R61">
        <v>14</v>
      </c>
      <c r="S61">
        <v>15</v>
      </c>
      <c r="T61">
        <v>16</v>
      </c>
      <c r="U61">
        <v>17</v>
      </c>
    </row>
    <row r="62" spans="1:31" ht="14.4" x14ac:dyDescent="0.3">
      <c r="A62" s="36" t="s">
        <v>65</v>
      </c>
      <c r="C62" s="216" t="s">
        <v>1</v>
      </c>
      <c r="D62" s="296">
        <v>0.1</v>
      </c>
      <c r="E62" s="296">
        <v>0.5</v>
      </c>
      <c r="F62" s="296">
        <v>1</v>
      </c>
      <c r="G62" s="296">
        <v>2</v>
      </c>
      <c r="H62" s="296">
        <v>3</v>
      </c>
      <c r="I62" s="296">
        <v>4</v>
      </c>
      <c r="J62" s="296">
        <v>5</v>
      </c>
      <c r="K62" s="296">
        <v>6</v>
      </c>
      <c r="L62" s="296">
        <v>7</v>
      </c>
      <c r="M62" s="296">
        <v>8</v>
      </c>
      <c r="N62" s="296">
        <v>10</v>
      </c>
      <c r="O62" s="296">
        <v>12</v>
      </c>
      <c r="P62" s="296">
        <v>14</v>
      </c>
      <c r="Q62" s="296">
        <v>18</v>
      </c>
      <c r="R62" s="296">
        <v>21</v>
      </c>
      <c r="S62" s="296">
        <v>100</v>
      </c>
      <c r="T62" s="296">
        <v>1000</v>
      </c>
      <c r="U62" s="296">
        <v>10000</v>
      </c>
    </row>
    <row r="63" spans="1:31" ht="14.4" x14ac:dyDescent="0.3">
      <c r="A63" s="43"/>
      <c r="C63" s="1" t="s">
        <v>64</v>
      </c>
      <c r="D63">
        <v>0</v>
      </c>
      <c r="E63">
        <v>1</v>
      </c>
      <c r="F63">
        <v>2</v>
      </c>
      <c r="G63">
        <v>3</v>
      </c>
      <c r="H63">
        <v>4</v>
      </c>
      <c r="I63">
        <v>5</v>
      </c>
      <c r="J63">
        <v>6</v>
      </c>
      <c r="K63">
        <v>7</v>
      </c>
      <c r="L63">
        <v>8</v>
      </c>
      <c r="M63">
        <v>9</v>
      </c>
      <c r="N63">
        <v>10</v>
      </c>
      <c r="O63">
        <v>11</v>
      </c>
      <c r="P63">
        <v>12</v>
      </c>
      <c r="Q63">
        <v>13</v>
      </c>
      <c r="R63">
        <v>14</v>
      </c>
      <c r="S63">
        <v>15</v>
      </c>
      <c r="T63">
        <v>16</v>
      </c>
      <c r="U63">
        <v>17</v>
      </c>
      <c r="Y63" s="44"/>
      <c r="Z63" s="44"/>
      <c r="AA63" s="44"/>
      <c r="AB63" s="44"/>
      <c r="AD63" s="44"/>
      <c r="AE63" s="44"/>
    </row>
    <row r="64" spans="1:31" ht="14.4" x14ac:dyDescent="0.3">
      <c r="A64" s="43">
        <v>2</v>
      </c>
      <c r="B64" s="43"/>
      <c r="C64" s="1"/>
      <c r="D64" s="298">
        <v>1.7291324964220301E-2</v>
      </c>
      <c r="E64" s="298">
        <v>6.6998018440489568E-2</v>
      </c>
      <c r="F64" s="298">
        <v>0.12416560747379798</v>
      </c>
      <c r="G64" s="298">
        <v>0.19164678959143519</v>
      </c>
      <c r="H64" s="298">
        <v>3.2432337711389723E-2</v>
      </c>
      <c r="I64" s="298">
        <v>2.6794917304969575E-2</v>
      </c>
      <c r="J64" s="298">
        <v>1.0787351058726545E-2</v>
      </c>
      <c r="K64" s="298">
        <v>1.5488830696511377E-2</v>
      </c>
      <c r="L64" s="298">
        <v>1.1120918013740941E-2</v>
      </c>
      <c r="M64" s="298">
        <v>1.2571907703050382E-2</v>
      </c>
      <c r="N64" s="298">
        <v>2.636287592484499E-2</v>
      </c>
      <c r="O64" s="298">
        <v>3.9068771982494086E-3</v>
      </c>
      <c r="P64" s="298">
        <v>1.783236037225493E-2</v>
      </c>
      <c r="Q64" s="298">
        <v>6.5715038062707058E-3</v>
      </c>
      <c r="R64" s="298">
        <v>5.7146036546192576E-3</v>
      </c>
      <c r="S64" s="298">
        <v>5.7146036546192576E-3</v>
      </c>
      <c r="T64" s="298">
        <v>5.7146036546192576E-3</v>
      </c>
      <c r="U64" s="298">
        <v>5.7146036546192576E-3</v>
      </c>
      <c r="Y64" s="45"/>
      <c r="Z64" s="45"/>
      <c r="AA64" s="45"/>
      <c r="AB64" s="45"/>
    </row>
    <row r="65" spans="1:31" ht="14.4" x14ac:dyDescent="0.3">
      <c r="A65" s="43">
        <v>3</v>
      </c>
      <c r="B65" s="43"/>
      <c r="C65" s="1"/>
      <c r="D65" s="298">
        <v>0.55385104430828935</v>
      </c>
      <c r="E65" s="298">
        <v>8.5473774716319078</v>
      </c>
      <c r="F65" s="298">
        <v>4.3857615521600959</v>
      </c>
      <c r="G65" s="298">
        <v>4.8916763402676038</v>
      </c>
      <c r="H65" s="298">
        <v>5.107248510230364</v>
      </c>
      <c r="I65" s="298">
        <v>6.2072885442798249</v>
      </c>
      <c r="J65" s="298">
        <v>7.7608557639223745</v>
      </c>
      <c r="K65" s="298">
        <v>5.1365577880102951</v>
      </c>
      <c r="L65" s="298">
        <v>3.7115343236794409</v>
      </c>
      <c r="M65" s="298">
        <v>2.8652501742303245</v>
      </c>
      <c r="N65" s="298">
        <v>1.976424393859703</v>
      </c>
      <c r="O65" s="298">
        <v>1.512989131711088</v>
      </c>
      <c r="P65" s="298">
        <v>1.2479844012146544</v>
      </c>
      <c r="Q65" s="298">
        <v>0.90186138282906037</v>
      </c>
      <c r="R65" s="298">
        <v>0.8611207071065603</v>
      </c>
      <c r="S65" s="298">
        <v>0.8611207071065603</v>
      </c>
      <c r="T65" s="298">
        <v>0.8611207071065603</v>
      </c>
      <c r="U65" s="298">
        <v>0.8611207071065603</v>
      </c>
    </row>
    <row r="66" spans="1:31" ht="14.4" x14ac:dyDescent="0.3">
      <c r="A66" s="43">
        <v>4</v>
      </c>
      <c r="B66" s="43"/>
      <c r="C66" s="1"/>
      <c r="D66" s="298">
        <v>0.13520250276733159</v>
      </c>
      <c r="E66" s="298">
        <v>2.8695360144102396E-2</v>
      </c>
      <c r="F66" s="298">
        <v>0.11237654569855723</v>
      </c>
      <c r="G66" s="298">
        <v>0.1270693443534559</v>
      </c>
      <c r="H66" s="298">
        <v>2.9673650735424224E-2</v>
      </c>
      <c r="I66" s="298">
        <v>2.1212221057019379E-2</v>
      </c>
      <c r="J66" s="298">
        <v>1.8916758051922035E-2</v>
      </c>
      <c r="K66" s="298">
        <v>2.4591818946340816E-2</v>
      </c>
      <c r="L66" s="298">
        <v>2.2309871990685983E-2</v>
      </c>
      <c r="M66" s="298">
        <v>1.4672119245636975E-2</v>
      </c>
      <c r="N66" s="298">
        <v>3.4977738354405041E-3</v>
      </c>
      <c r="O66" s="298">
        <v>3.318391374383355E-3</v>
      </c>
      <c r="P66" s="298">
        <v>1.8380050856337499E-2</v>
      </c>
      <c r="Q66" s="298">
        <v>5.7240454854559945E-3</v>
      </c>
      <c r="R66" s="298">
        <v>1.5847873572736098E-3</v>
      </c>
      <c r="S66" s="298">
        <v>1.5847873572736098E-3</v>
      </c>
      <c r="T66" s="298">
        <v>1.5847873572736098E-3</v>
      </c>
      <c r="U66" s="298">
        <v>1.5847873572736098E-3</v>
      </c>
      <c r="Y66" s="45"/>
      <c r="AB66" s="45"/>
      <c r="AC66" s="45"/>
    </row>
    <row r="67" spans="1:31" ht="14.4" x14ac:dyDescent="0.3">
      <c r="A67" s="43">
        <v>5</v>
      </c>
      <c r="B67" s="43"/>
      <c r="C67" s="1"/>
      <c r="D67" s="298">
        <v>93.368748010282204</v>
      </c>
      <c r="E67" s="298">
        <v>82.87682728374898</v>
      </c>
      <c r="F67" s="298">
        <v>73.247221838386295</v>
      </c>
      <c r="G67" s="298">
        <v>60.831459052554194</v>
      </c>
      <c r="H67" s="298">
        <v>49.382828970020235</v>
      </c>
      <c r="I67" s="298">
        <v>41.72752692184784</v>
      </c>
      <c r="J67" s="298">
        <v>37.27946499417164</v>
      </c>
      <c r="K67" s="298">
        <v>34.240442443062605</v>
      </c>
      <c r="L67" s="298">
        <v>31.801834469310585</v>
      </c>
      <c r="M67" s="298">
        <v>29.833911528390878</v>
      </c>
      <c r="N67" s="298">
        <v>26.829447444032468</v>
      </c>
      <c r="O67" s="298">
        <v>24.524377947577921</v>
      </c>
      <c r="P67" s="298">
        <v>22.666145948519805</v>
      </c>
      <c r="Q67" s="298">
        <v>19.683481307529799</v>
      </c>
      <c r="R67" s="298">
        <v>19.55420880107971</v>
      </c>
      <c r="S67" s="298">
        <v>19.55420880107971</v>
      </c>
      <c r="T67" s="298">
        <v>19.55420880107971</v>
      </c>
      <c r="U67" s="298">
        <v>19.55420880107971</v>
      </c>
    </row>
    <row r="68" spans="1:31" ht="14.4" x14ac:dyDescent="0.3">
      <c r="A68" s="43">
        <v>6</v>
      </c>
      <c r="B68" s="43"/>
      <c r="C68" s="1"/>
      <c r="D68" s="298">
        <v>6.8818496078623531E-2</v>
      </c>
      <c r="E68" s="298">
        <v>5.2936191485114158E-2</v>
      </c>
      <c r="F68" s="298">
        <v>7.0102641631974985E-3</v>
      </c>
      <c r="G68" s="298">
        <v>1.1862351899176933E-2</v>
      </c>
      <c r="H68" s="298">
        <v>1.9222702695116914E-3</v>
      </c>
      <c r="I68" s="298">
        <v>1.1087146410300954E-2</v>
      </c>
      <c r="J68" s="298">
        <v>6.7285132893848583E-3</v>
      </c>
      <c r="K68" s="298">
        <v>4.5194792975590103E-3</v>
      </c>
      <c r="L68" s="298">
        <v>6.0169639857389576E-3</v>
      </c>
      <c r="M68" s="298">
        <v>7.3330327729595772E-3</v>
      </c>
      <c r="N68" s="298">
        <v>4.9368015428742544E-3</v>
      </c>
      <c r="O68" s="298">
        <v>2.1005572354824645E-3</v>
      </c>
      <c r="P68" s="298">
        <v>9.2816222816082712E-3</v>
      </c>
      <c r="Q68" s="298">
        <v>3.8021989595571734E-3</v>
      </c>
      <c r="R68" s="298">
        <v>2.6949365909897677E-3</v>
      </c>
      <c r="S68" s="298">
        <v>2.6949365909897677E-3</v>
      </c>
      <c r="T68" s="298">
        <v>2.6949365909897677E-3</v>
      </c>
      <c r="U68" s="298">
        <v>2.6949365909897677E-3</v>
      </c>
      <c r="Y68" s="45"/>
      <c r="AA68" s="45"/>
    </row>
    <row r="69" spans="1:31" ht="14.4" x14ac:dyDescent="0.3">
      <c r="A69" s="43">
        <v>7</v>
      </c>
      <c r="B69" s="43"/>
      <c r="C69" s="1"/>
      <c r="D69" s="298">
        <v>85.792929223620419</v>
      </c>
      <c r="E69" s="298">
        <v>65.67536665068971</v>
      </c>
      <c r="F69" s="298">
        <v>52.471101352240538</v>
      </c>
      <c r="G69" s="298">
        <v>34.473926081721721</v>
      </c>
      <c r="H69" s="298">
        <v>20.70483242585701</v>
      </c>
      <c r="I69" s="298">
        <v>13.8859457017344</v>
      </c>
      <c r="J69" s="298">
        <v>10.407370469722119</v>
      </c>
      <c r="K69" s="298">
        <v>8.4234250472584673</v>
      </c>
      <c r="L69" s="298">
        <v>7.3447486655802345</v>
      </c>
      <c r="M69" s="298">
        <v>6.8022663683683335</v>
      </c>
      <c r="N69" s="298">
        <v>6.5166708279323533</v>
      </c>
      <c r="O69" s="298">
        <v>6.6273860488121423</v>
      </c>
      <c r="P69" s="298">
        <v>6.8022403042729351</v>
      </c>
      <c r="Q69" s="298">
        <v>6.987229811341364</v>
      </c>
      <c r="R69" s="298">
        <v>7.326010337515557</v>
      </c>
      <c r="S69" s="298">
        <v>7.326010337515557</v>
      </c>
      <c r="T69" s="298">
        <v>7.326010337515557</v>
      </c>
      <c r="U69" s="298">
        <v>7.326010337515557</v>
      </c>
    </row>
    <row r="70" spans="1:31" ht="14.4" x14ac:dyDescent="0.3">
      <c r="A70" s="43">
        <v>8</v>
      </c>
      <c r="B70" s="43"/>
      <c r="C70" s="1"/>
      <c r="D70" s="298">
        <v>0.15207091572872264</v>
      </c>
      <c r="E70" s="298">
        <v>5.2891824469196221E-2</v>
      </c>
      <c r="F70" s="298">
        <v>5.7040082585237739E-2</v>
      </c>
      <c r="G70" s="298">
        <v>1.9116049168177565E-2</v>
      </c>
      <c r="H70" s="298">
        <v>2.3564987660073828E-2</v>
      </c>
      <c r="I70" s="298">
        <v>8.5355102461392024E-3</v>
      </c>
      <c r="J70" s="298">
        <v>1.9603945043945102E-2</v>
      </c>
      <c r="K70" s="298">
        <v>1.2636657164619786E-2</v>
      </c>
      <c r="L70" s="298">
        <v>1.0643351525778579E-2</v>
      </c>
      <c r="M70" s="298">
        <v>4.3473848598230228E-3</v>
      </c>
      <c r="N70" s="298">
        <v>2.5415807506222721E-3</v>
      </c>
      <c r="O70" s="298">
        <v>1.2216655309818655E-3</v>
      </c>
      <c r="P70" s="298">
        <v>6.4595461603830819E-3</v>
      </c>
      <c r="Q70" s="298">
        <v>1.3983813924981661E-3</v>
      </c>
      <c r="R70" s="298">
        <v>3.4056178014729927E-3</v>
      </c>
      <c r="S70" s="298">
        <v>3.4056178014729927E-3</v>
      </c>
      <c r="T70" s="298">
        <v>3.4056178014729927E-3</v>
      </c>
      <c r="U70" s="298">
        <v>3.4056178014729927E-3</v>
      </c>
      <c r="Y70" s="45"/>
      <c r="Z70" s="45"/>
      <c r="AA70" s="45"/>
      <c r="AB70" s="45"/>
      <c r="AC70" s="45"/>
    </row>
    <row r="71" spans="1:31" ht="14.4" x14ac:dyDescent="0.3">
      <c r="A71" s="43">
        <v>9</v>
      </c>
      <c r="B71" s="43"/>
      <c r="C71" s="1"/>
      <c r="D71" s="298">
        <v>1.154353524821659</v>
      </c>
      <c r="E71" s="298">
        <v>3.5914593530271834</v>
      </c>
      <c r="F71" s="298">
        <v>0.66156600737101889</v>
      </c>
      <c r="G71" s="298">
        <v>0.60368769264829547</v>
      </c>
      <c r="H71" s="298">
        <v>0.42447764331950832</v>
      </c>
      <c r="I71" s="298">
        <v>1.0648962156533353</v>
      </c>
      <c r="J71" s="298">
        <v>1.5532650518305111</v>
      </c>
      <c r="K71" s="298">
        <v>0.98716445545758624</v>
      </c>
      <c r="L71" s="298">
        <v>0.68104076968532634</v>
      </c>
      <c r="M71" s="298">
        <v>0.50610374236669098</v>
      </c>
      <c r="N71" s="298">
        <v>0.31868142208094846</v>
      </c>
      <c r="O71" s="298">
        <v>0.22626624756676589</v>
      </c>
      <c r="P71" s="298">
        <v>0.1789795622711387</v>
      </c>
      <c r="Q71" s="298">
        <v>0.13966052871548112</v>
      </c>
      <c r="R71" s="298">
        <v>0.13247290047204982</v>
      </c>
      <c r="S71" s="298">
        <v>0.13247290047204982</v>
      </c>
      <c r="T71" s="298">
        <v>0.13247290047204982</v>
      </c>
      <c r="U71" s="298">
        <v>0.13247290047204982</v>
      </c>
      <c r="Y71" s="45"/>
    </row>
    <row r="72" spans="1:31" ht="14.4" x14ac:dyDescent="0.3">
      <c r="A72" s="43">
        <v>10</v>
      </c>
      <c r="B72" s="43"/>
      <c r="C72" s="1"/>
      <c r="D72" s="298">
        <v>0.2294007148283545</v>
      </c>
      <c r="E72" s="298">
        <v>4.67408371331944E-2</v>
      </c>
      <c r="F72" s="298">
        <v>3.9171017790739594E-2</v>
      </c>
      <c r="G72" s="298">
        <v>3.1896110289054799E-2</v>
      </c>
      <c r="H72" s="298">
        <v>9.7072760067846587E-3</v>
      </c>
      <c r="I72" s="298">
        <v>1.3760275349404955E-2</v>
      </c>
      <c r="J72" s="298">
        <v>1.2351163020258928E-2</v>
      </c>
      <c r="K72" s="298">
        <v>7.8770677291336265E-3</v>
      </c>
      <c r="L72" s="298">
        <v>6.6241460677741474E-3</v>
      </c>
      <c r="M72" s="298">
        <v>9.5446111698385379E-4</v>
      </c>
      <c r="N72" s="298">
        <v>5.9000829249238182E-3</v>
      </c>
      <c r="O72" s="298">
        <v>2.8410236973985879E-3</v>
      </c>
      <c r="P72" s="298">
        <v>3.0933034144878684E-3</v>
      </c>
      <c r="Q72" s="298">
        <v>1.7024651539385351E-3</v>
      </c>
      <c r="R72" s="298">
        <v>3.8405411483555876E-3</v>
      </c>
      <c r="S72" s="298">
        <v>3.8405411483555876E-3</v>
      </c>
      <c r="T72" s="298">
        <v>3.8405411483555876E-3</v>
      </c>
      <c r="U72" s="298">
        <v>3.8405411483555876E-3</v>
      </c>
      <c r="Y72" s="45"/>
      <c r="Z72" s="45"/>
      <c r="AA72" s="45"/>
      <c r="AB72" s="45"/>
      <c r="AC72" s="45"/>
      <c r="AD72" s="45"/>
    </row>
    <row r="73" spans="1:31" ht="14.4" x14ac:dyDescent="0.3">
      <c r="A73" s="43">
        <v>11</v>
      </c>
      <c r="B73" s="43"/>
      <c r="C73" s="1"/>
      <c r="D73" s="298">
        <v>69.048567707776243</v>
      </c>
      <c r="E73" s="298">
        <v>33.685348584817774</v>
      </c>
      <c r="F73" s="298">
        <v>15.583787301158949</v>
      </c>
      <c r="G73" s="298">
        <v>6.5636008603412694</v>
      </c>
      <c r="H73" s="298">
        <v>7.6797975872700235</v>
      </c>
      <c r="I73" s="298">
        <v>7.4570840283088478</v>
      </c>
      <c r="J73" s="298">
        <v>6.9055670232180777</v>
      </c>
      <c r="K73" s="298">
        <v>6.5341193000171698</v>
      </c>
      <c r="L73" s="298">
        <v>6.0786150094839924</v>
      </c>
      <c r="M73" s="298">
        <v>5.6151234987755405</v>
      </c>
      <c r="N73" s="298">
        <v>4.7731220793376856</v>
      </c>
      <c r="O73" s="298">
        <v>4.037747204995374</v>
      </c>
      <c r="P73" s="298">
        <v>3.4442053406397228</v>
      </c>
      <c r="Q73" s="298">
        <v>2.6571079286057731</v>
      </c>
      <c r="R73" s="298">
        <v>2.6319335627413896</v>
      </c>
      <c r="S73" s="298">
        <v>2.6319335627413896</v>
      </c>
      <c r="T73" s="298">
        <v>2.6319335627413896</v>
      </c>
      <c r="U73" s="298">
        <v>2.6319335627413896</v>
      </c>
    </row>
    <row r="74" spans="1:31" ht="14.4" x14ac:dyDescent="0.3">
      <c r="A74" s="43">
        <v>12</v>
      </c>
      <c r="B74" s="43"/>
      <c r="C74" s="1"/>
      <c r="D74" s="298">
        <v>4.3926126021925166E-2</v>
      </c>
      <c r="E74" s="298">
        <v>1.2877494467594758E-2</v>
      </c>
      <c r="F74" s="298">
        <v>4.5954157397374695E-3</v>
      </c>
      <c r="G74" s="298">
        <v>5.329225146697902E-3</v>
      </c>
      <c r="H74" s="298">
        <v>1.7455825337836627E-3</v>
      </c>
      <c r="I74" s="298">
        <v>6.1922252654432195E-3</v>
      </c>
      <c r="J74" s="298">
        <v>4.6340307760456886E-3</v>
      </c>
      <c r="K74" s="298">
        <v>1.2658928420938899E-3</v>
      </c>
      <c r="L74" s="298">
        <v>7.2345470714335765E-4</v>
      </c>
      <c r="M74" s="298">
        <v>2.8137542278655172E-3</v>
      </c>
      <c r="N74" s="298">
        <v>3.3387817150023614E-3</v>
      </c>
      <c r="O74" s="298">
        <v>7.0415228820549169E-4</v>
      </c>
      <c r="P74" s="298">
        <v>3.2866827675993235E-3</v>
      </c>
      <c r="Q74" s="298">
        <v>2.129932191298423E-3</v>
      </c>
      <c r="R74" s="298">
        <v>3.0726078205235829E-3</v>
      </c>
      <c r="S74" s="298">
        <v>3.0726078205235829E-3</v>
      </c>
      <c r="T74" s="298">
        <v>3.0726078205235829E-3</v>
      </c>
      <c r="U74" s="298">
        <v>3.0726078205235829E-3</v>
      </c>
      <c r="Y74" s="45"/>
      <c r="Z74" s="45"/>
      <c r="AA74" s="45"/>
      <c r="AB74" s="45"/>
      <c r="AC74" s="45"/>
      <c r="AD74" s="45"/>
    </row>
    <row r="75" spans="1:31" ht="14.4" x14ac:dyDescent="0.3">
      <c r="A75" s="43">
        <v>13</v>
      </c>
      <c r="B75" s="43"/>
      <c r="C75" s="1"/>
      <c r="D75" s="298">
        <v>57.626071680473594</v>
      </c>
      <c r="E75" s="298">
        <v>19.008833408591933</v>
      </c>
      <c r="F75" s="298">
        <v>6.0811074483745449</v>
      </c>
      <c r="G75" s="298">
        <v>6.4203508662030933</v>
      </c>
      <c r="H75" s="298">
        <v>4.053836065316168</v>
      </c>
      <c r="I75" s="298">
        <v>3.136813925533426</v>
      </c>
      <c r="J75" s="298">
        <v>3.2687886565984781</v>
      </c>
      <c r="K75" s="298">
        <v>3.1927019928471165</v>
      </c>
      <c r="L75" s="298">
        <v>3.1590323561450395</v>
      </c>
      <c r="M75" s="298">
        <v>3.1114405010378423</v>
      </c>
      <c r="N75" s="298">
        <v>2.9413990501469054</v>
      </c>
      <c r="O75" s="298">
        <v>2.6891381919916104</v>
      </c>
      <c r="P75" s="298">
        <v>2.4129113867682368</v>
      </c>
      <c r="Q75" s="298">
        <v>1.9019132140355048</v>
      </c>
      <c r="R75" s="298">
        <v>1.9731316672454773</v>
      </c>
      <c r="S75" s="298">
        <v>1.9731316672454773</v>
      </c>
      <c r="T75" s="298">
        <v>1.9731316672454773</v>
      </c>
      <c r="U75" s="298">
        <v>1.9731316672454773</v>
      </c>
    </row>
    <row r="76" spans="1:31" ht="14.4" x14ac:dyDescent="0.3">
      <c r="A76" s="43">
        <v>14</v>
      </c>
      <c r="B76" s="43"/>
      <c r="C76" s="1"/>
      <c r="D76" s="298">
        <v>0.20927403927484672</v>
      </c>
      <c r="E76" s="298">
        <v>5.5602611265487843E-2</v>
      </c>
      <c r="F76" s="298">
        <v>4.0150680983375708E-2</v>
      </c>
      <c r="G76" s="298">
        <v>1.1364022598705132E-2</v>
      </c>
      <c r="H76" s="298">
        <v>1.5808693433503308E-2</v>
      </c>
      <c r="I76" s="298">
        <v>1.1300571663228018E-2</v>
      </c>
      <c r="J76" s="298">
        <v>1.3986444352451872E-2</v>
      </c>
      <c r="K76" s="298">
        <v>1.3726550136797936E-2</v>
      </c>
      <c r="L76" s="298">
        <v>1.2922710779955417E-2</v>
      </c>
      <c r="M76" s="298">
        <v>6.7573395777536377E-3</v>
      </c>
      <c r="N76" s="298">
        <v>6.0541163970223889E-3</v>
      </c>
      <c r="O76" s="298">
        <v>8.8566143641728831E-4</v>
      </c>
      <c r="P76" s="298">
        <v>4.5856434142929501E-3</v>
      </c>
      <c r="Q76" s="298">
        <v>2.3769049086772155E-3</v>
      </c>
      <c r="R76" s="298">
        <v>2.1687917940923906E-3</v>
      </c>
      <c r="S76" s="298">
        <v>2.1687917940923906E-3</v>
      </c>
      <c r="T76" s="298">
        <v>2.1687917940923906E-3</v>
      </c>
      <c r="U76" s="298">
        <v>2.1687917940923906E-3</v>
      </c>
      <c r="Y76" s="45"/>
      <c r="Z76" s="45"/>
      <c r="AA76" s="45"/>
      <c r="AB76" s="45"/>
      <c r="AC76" s="45"/>
      <c r="AE76" s="45"/>
    </row>
    <row r="77" spans="1:31" ht="14.4" x14ac:dyDescent="0.3">
      <c r="A77" s="43">
        <v>15</v>
      </c>
      <c r="B77" s="43"/>
      <c r="C77" s="1"/>
      <c r="D77" s="298">
        <v>1.136851568371505</v>
      </c>
      <c r="E77" s="298">
        <v>0.23095610968918576</v>
      </c>
      <c r="F77" s="298">
        <v>0.45935010470309795</v>
      </c>
      <c r="G77" s="298">
        <v>0.33979479464125767</v>
      </c>
      <c r="H77" s="298">
        <v>0.19877874639876153</v>
      </c>
      <c r="I77" s="298">
        <v>0.6117370588990978</v>
      </c>
      <c r="J77" s="298">
        <v>0.7739736036483279</v>
      </c>
      <c r="K77" s="298">
        <v>0.47689818111624066</v>
      </c>
      <c r="L77" s="298">
        <v>0.32445444976062632</v>
      </c>
      <c r="M77" s="298">
        <v>0.24590737646040681</v>
      </c>
      <c r="N77" s="298">
        <v>0.17863761703347875</v>
      </c>
      <c r="O77" s="298">
        <v>0.15238590146764369</v>
      </c>
      <c r="P77" s="298">
        <v>0.13879587874692803</v>
      </c>
      <c r="Q77" s="298">
        <v>0.10849930149243135</v>
      </c>
      <c r="R77" s="298">
        <v>0.10438708261063094</v>
      </c>
      <c r="S77" s="298">
        <v>0.10438708261063094</v>
      </c>
      <c r="T77" s="298">
        <v>0.10438708261063094</v>
      </c>
      <c r="U77" s="298">
        <v>0.10438708261063094</v>
      </c>
      <c r="Y77" s="45"/>
      <c r="Z77" s="45"/>
      <c r="AA77" s="45"/>
      <c r="AB77" s="45"/>
    </row>
    <row r="78" spans="1:31" ht="14.4" x14ac:dyDescent="0.3">
      <c r="A78" s="43">
        <v>16</v>
      </c>
      <c r="B78" s="43"/>
      <c r="C78" s="1"/>
      <c r="D78" s="298">
        <v>0.21260480542905863</v>
      </c>
      <c r="E78" s="298">
        <v>5.5251059810874539E-2</v>
      </c>
      <c r="F78" s="298">
        <v>2.9549060045343564E-2</v>
      </c>
      <c r="G78" s="298">
        <v>1.9149260351853523E-2</v>
      </c>
      <c r="H78" s="298">
        <v>8.8894084206710914E-3</v>
      </c>
      <c r="I78" s="298">
        <v>9.8004503653837914E-3</v>
      </c>
      <c r="J78" s="298">
        <v>9.3355107602731344E-3</v>
      </c>
      <c r="K78" s="298">
        <v>1.1176506405604431E-2</v>
      </c>
      <c r="L78" s="298">
        <v>1.0797812516310075E-2</v>
      </c>
      <c r="M78" s="298">
        <v>4.9258459762198314E-3</v>
      </c>
      <c r="N78" s="298">
        <v>1.5412362332936629E-3</v>
      </c>
      <c r="O78" s="298">
        <v>1.7707278526791228E-3</v>
      </c>
      <c r="P78" s="298">
        <v>3.8905467511792919E-3</v>
      </c>
      <c r="Q78" s="298">
        <v>3.1270051788819786E-3</v>
      </c>
      <c r="R78" s="298">
        <v>2.7546885466757905E-3</v>
      </c>
      <c r="S78" s="298">
        <v>2.7546885466757905E-3</v>
      </c>
      <c r="T78" s="298">
        <v>2.7546885466757905E-3</v>
      </c>
      <c r="U78" s="298">
        <v>2.7546885466757905E-3</v>
      </c>
      <c r="Y78" s="45"/>
      <c r="Z78" s="45"/>
      <c r="AA78" s="45"/>
      <c r="AB78" s="45"/>
      <c r="AC78" s="45"/>
      <c r="AD78" s="45"/>
    </row>
    <row r="79" spans="1:31" ht="14.4" x14ac:dyDescent="0.3">
      <c r="A79" s="43">
        <v>17</v>
      </c>
      <c r="B79" s="43"/>
      <c r="C79" s="1"/>
      <c r="D79" s="299">
        <v>38.305868434141544</v>
      </c>
      <c r="E79" s="298">
        <v>5.2999903687276673</v>
      </c>
      <c r="F79" s="298">
        <v>6.2578007441416821</v>
      </c>
      <c r="G79" s="299">
        <v>3.651615692351549</v>
      </c>
      <c r="H79" s="299">
        <v>3.9361368606820331</v>
      </c>
      <c r="I79" s="299">
        <v>3.5365888642625669</v>
      </c>
      <c r="J79" s="298">
        <v>2.7954962272937816</v>
      </c>
      <c r="K79" s="298">
        <v>2.4617473384512585</v>
      </c>
      <c r="L79" s="298">
        <v>2.1281057585635259</v>
      </c>
      <c r="M79" s="298">
        <v>1.850567348179557</v>
      </c>
      <c r="N79" s="299">
        <v>1.5324828885585096</v>
      </c>
      <c r="O79" s="298">
        <v>1.4251739565426205</v>
      </c>
      <c r="P79" s="298">
        <v>1.4117622874341469</v>
      </c>
      <c r="Q79" s="298">
        <v>1.3485789449567889</v>
      </c>
      <c r="R79" s="298">
        <v>1.3516864824509252</v>
      </c>
      <c r="S79" s="298">
        <v>1.3516864824509252</v>
      </c>
      <c r="T79" s="298">
        <v>1.3516864824509252</v>
      </c>
      <c r="U79" s="298">
        <v>1.3516864824509252</v>
      </c>
    </row>
    <row r="80" spans="1:31" ht="14.4" x14ac:dyDescent="0.3">
      <c r="A80" s="43">
        <v>18</v>
      </c>
      <c r="B80" s="43"/>
      <c r="C80" s="1"/>
      <c r="D80" s="298">
        <v>6.8073317161051342E-3</v>
      </c>
      <c r="E80" s="298">
        <v>4.4855023970696963E-3</v>
      </c>
      <c r="F80" s="298">
        <v>3.7080452251308581E-3</v>
      </c>
      <c r="G80" s="298">
        <v>4.1891794258732719E-3</v>
      </c>
      <c r="H80" s="298">
        <v>2.5800652861531514E-3</v>
      </c>
      <c r="I80" s="298">
        <v>5.1323452366736095E-3</v>
      </c>
      <c r="J80" s="298">
        <v>3.2624660891922676E-3</v>
      </c>
      <c r="K80" s="298">
        <v>9.7248963017647263E-4</v>
      </c>
      <c r="L80" s="298">
        <v>5.3824967182370125E-4</v>
      </c>
      <c r="M80" s="298">
        <v>3.4207800467921257E-3</v>
      </c>
      <c r="N80" s="298">
        <v>2.3022193218101682E-3</v>
      </c>
      <c r="O80" s="298">
        <v>7.1766985210155283E-4</v>
      </c>
      <c r="P80" s="298">
        <v>1.6747979107749516E-3</v>
      </c>
      <c r="Q80" s="298">
        <v>1.0243399597807483E-3</v>
      </c>
      <c r="R80" s="298">
        <v>2.7645882744071495E-3</v>
      </c>
      <c r="S80" s="298">
        <v>2.7645882744071495E-3</v>
      </c>
      <c r="T80" s="298">
        <v>2.7645882744071495E-3</v>
      </c>
      <c r="U80" s="298">
        <v>2.7645882744071495E-3</v>
      </c>
      <c r="Y80" s="45"/>
      <c r="Z80" s="45"/>
      <c r="AA80" s="45"/>
      <c r="AB80" s="45"/>
      <c r="AC80" s="45"/>
      <c r="AD80" s="45"/>
      <c r="AE80" s="45"/>
    </row>
    <row r="81" spans="1:31" ht="14.4" x14ac:dyDescent="0.3">
      <c r="A81" s="43">
        <v>19</v>
      </c>
      <c r="B81" s="43"/>
      <c r="C81" s="1"/>
      <c r="D81" s="298">
        <v>28.12675018493254</v>
      </c>
      <c r="E81" s="298">
        <v>5.7694235730205383</v>
      </c>
      <c r="F81" s="298">
        <v>4.4923444139523241</v>
      </c>
      <c r="G81" s="298">
        <v>2.461818140179882</v>
      </c>
      <c r="H81" s="298">
        <v>1.5612033953483941</v>
      </c>
      <c r="I81" s="298">
        <v>1.435344927819425</v>
      </c>
      <c r="J81" s="298">
        <v>1.8152549557696753</v>
      </c>
      <c r="K81" s="298">
        <v>1.7533389509717254</v>
      </c>
      <c r="L81" s="298">
        <v>1.6441205577377018</v>
      </c>
      <c r="M81" s="298">
        <v>1.5015094716885002</v>
      </c>
      <c r="N81" s="298">
        <v>1.1978760529333901</v>
      </c>
      <c r="O81" s="298">
        <v>0.96493434637770215</v>
      </c>
      <c r="P81" s="298">
        <v>0.86230538911097832</v>
      </c>
      <c r="Q81" s="298">
        <v>0.87143134542122158</v>
      </c>
      <c r="R81" s="298">
        <v>0.89423887387252965</v>
      </c>
      <c r="S81" s="298">
        <v>0.89423887387252965</v>
      </c>
      <c r="T81" s="298">
        <v>0.89423887387252965</v>
      </c>
      <c r="U81" s="298">
        <v>0.89423887387252965</v>
      </c>
    </row>
    <row r="82" spans="1:31" ht="14.4" x14ac:dyDescent="0.3">
      <c r="A82" s="43">
        <v>20</v>
      </c>
      <c r="B82" s="43"/>
      <c r="C82" s="1"/>
      <c r="D82" s="298">
        <v>0.16228025606892954</v>
      </c>
      <c r="E82" s="298">
        <v>3.4304595434386999E-2</v>
      </c>
      <c r="F82" s="298">
        <v>3.603503131369204E-2</v>
      </c>
      <c r="G82" s="298">
        <v>1.3414457398225953E-2</v>
      </c>
      <c r="H82" s="298">
        <v>1.3820648138552563E-2</v>
      </c>
      <c r="I82" s="298">
        <v>1.2553645285502412E-2</v>
      </c>
      <c r="J82" s="298">
        <v>1.1519216055600136E-2</v>
      </c>
      <c r="K82" s="298">
        <v>1.2482583619361326E-2</v>
      </c>
      <c r="L82" s="298">
        <v>1.0659586926913772E-2</v>
      </c>
      <c r="M82" s="298">
        <v>3.9990621565117561E-3</v>
      </c>
      <c r="N82" s="298">
        <v>4.289924599988241E-3</v>
      </c>
      <c r="O82" s="298">
        <v>2.3631359410929234E-3</v>
      </c>
      <c r="P82" s="298">
        <v>2.0372139828744758E-3</v>
      </c>
      <c r="Q82" s="298">
        <v>2.6099379219788315E-3</v>
      </c>
      <c r="R82" s="298">
        <v>3.3164014470484933E-3</v>
      </c>
      <c r="S82" s="298">
        <v>3.3164014470484933E-3</v>
      </c>
      <c r="T82" s="298">
        <v>3.3164014470484933E-3</v>
      </c>
      <c r="U82" s="298">
        <v>3.3164014470484933E-3</v>
      </c>
      <c r="Y82" s="45"/>
      <c r="Z82" s="45"/>
      <c r="AA82" s="45"/>
      <c r="AB82" s="45"/>
      <c r="AC82" s="45"/>
      <c r="AD82" s="45"/>
      <c r="AE82" s="45"/>
    </row>
    <row r="83" spans="1:31" ht="14.4" x14ac:dyDescent="0.3">
      <c r="A83" s="43">
        <v>21</v>
      </c>
      <c r="B83" s="43"/>
      <c r="C83" s="1"/>
      <c r="D83" s="298">
        <v>0.62329316321319206</v>
      </c>
      <c r="E83" s="298">
        <v>0.38652912360520963</v>
      </c>
      <c r="F83" s="298">
        <v>0.28848587809075404</v>
      </c>
      <c r="G83" s="298">
        <v>0.2327624797312611</v>
      </c>
      <c r="H83" s="298">
        <v>0.12695962714013889</v>
      </c>
      <c r="I83" s="298">
        <v>0.43156831387325317</v>
      </c>
      <c r="J83" s="298">
        <v>0.51232861946084751</v>
      </c>
      <c r="K83" s="298">
        <v>0.33639919482821595</v>
      </c>
      <c r="L83" s="298">
        <v>0.24976274080004948</v>
      </c>
      <c r="M83" s="298">
        <v>0.20143664947276263</v>
      </c>
      <c r="N83" s="298">
        <v>0.14886071320433725</v>
      </c>
      <c r="O83" s="298">
        <v>0.11057082122039739</v>
      </c>
      <c r="P83" s="298">
        <v>8.69095877563483E-2</v>
      </c>
      <c r="Q83" s="298">
        <v>6.469840401868561E-2</v>
      </c>
      <c r="R83" s="298">
        <v>6.207334554446476E-2</v>
      </c>
      <c r="S83" s="298">
        <v>6.207334554446476E-2</v>
      </c>
      <c r="T83" s="298">
        <v>6.207334554446476E-2</v>
      </c>
      <c r="U83" s="298">
        <v>6.207334554446476E-2</v>
      </c>
      <c r="Y83" s="45"/>
      <c r="Z83" s="45"/>
      <c r="AA83" s="45"/>
      <c r="AB83" s="45"/>
    </row>
    <row r="84" spans="1:31" ht="14.4" x14ac:dyDescent="0.3">
      <c r="A84" s="43">
        <v>22</v>
      </c>
      <c r="B84" s="43"/>
      <c r="C84" s="1"/>
      <c r="D84" s="298">
        <v>0.10196628651957353</v>
      </c>
      <c r="E84" s="298">
        <v>3.8702088424270906E-2</v>
      </c>
      <c r="F84" s="298">
        <v>3.2940823141321553E-2</v>
      </c>
      <c r="G84" s="298">
        <v>1.4397088226243407E-2</v>
      </c>
      <c r="H84" s="298">
        <v>8.0433131135157904E-3</v>
      </c>
      <c r="I84" s="298">
        <v>9.1411482785596215E-3</v>
      </c>
      <c r="J84" s="298">
        <v>1.3328297513609087E-2</v>
      </c>
      <c r="K84" s="298">
        <v>9.9334339431091864E-3</v>
      </c>
      <c r="L84" s="298">
        <v>8.7776949548354632E-3</v>
      </c>
      <c r="M84" s="298">
        <v>2.8422690440152187E-3</v>
      </c>
      <c r="N84" s="298">
        <v>1.7693174251628295E-3</v>
      </c>
      <c r="O84" s="298">
        <v>2.3683965026528521E-3</v>
      </c>
      <c r="P84" s="298">
        <v>2.2687748359132434E-3</v>
      </c>
      <c r="Q84" s="298">
        <v>3.2956893394252857E-3</v>
      </c>
      <c r="R84" s="298">
        <v>3.1845733198832878E-3</v>
      </c>
      <c r="S84" s="298">
        <v>3.1845733198832878E-3</v>
      </c>
      <c r="T84" s="298">
        <v>3.1845733198832878E-3</v>
      </c>
      <c r="U84" s="298">
        <v>3.1845733198832878E-3</v>
      </c>
      <c r="Y84" s="45"/>
      <c r="Z84" s="45"/>
      <c r="AA84" s="45"/>
      <c r="AB84" s="45"/>
      <c r="AC84" s="45"/>
      <c r="AD84" s="45"/>
      <c r="AE84" s="45"/>
    </row>
    <row r="85" spans="1:31" ht="14.4" x14ac:dyDescent="0.3">
      <c r="A85" s="43">
        <v>23</v>
      </c>
      <c r="B85" s="43"/>
      <c r="C85" s="1"/>
      <c r="D85" s="298">
        <v>14.111336248333169</v>
      </c>
      <c r="E85" s="298">
        <v>4.5502762773923147</v>
      </c>
      <c r="F85" s="298">
        <v>2.8173069900787024</v>
      </c>
      <c r="G85" s="298">
        <v>2.0670952688936821</v>
      </c>
      <c r="H85" s="298">
        <v>2.2928087910650583</v>
      </c>
      <c r="I85" s="298">
        <v>1.9472020944612196</v>
      </c>
      <c r="J85" s="298">
        <v>1.3645089433593613</v>
      </c>
      <c r="K85" s="298">
        <v>1.1709027163413299</v>
      </c>
      <c r="L85" s="298">
        <v>1.0449622436221531</v>
      </c>
      <c r="M85" s="298">
        <v>0.98668776275695924</v>
      </c>
      <c r="N85" s="298">
        <v>0.97151910927620677</v>
      </c>
      <c r="O85" s="298">
        <v>0.91499109629030073</v>
      </c>
      <c r="P85" s="298">
        <v>0.81941237005377587</v>
      </c>
      <c r="Q85" s="298">
        <v>0.64151011524075341</v>
      </c>
      <c r="R85" s="298">
        <v>0.64347399672352978</v>
      </c>
      <c r="S85" s="298">
        <v>0.64347399672352978</v>
      </c>
      <c r="T85" s="298">
        <v>0.64347399672352978</v>
      </c>
      <c r="U85" s="298">
        <v>0.64347399672352978</v>
      </c>
    </row>
    <row r="86" spans="1:31" ht="14.4" x14ac:dyDescent="0.3">
      <c r="A86" s="43">
        <v>24</v>
      </c>
      <c r="B86" s="43"/>
      <c r="C86" s="1"/>
      <c r="D86" s="298">
        <v>3.6824454901743818E-2</v>
      </c>
      <c r="E86" s="298">
        <v>9.8382681602157043E-3</v>
      </c>
      <c r="F86" s="298">
        <v>2.4869442257516557E-3</v>
      </c>
      <c r="G86" s="298">
        <v>3.7823320015961076E-3</v>
      </c>
      <c r="H86" s="298">
        <v>3.0035667733548503E-3</v>
      </c>
      <c r="I86" s="298">
        <v>5.3235417328994826E-3</v>
      </c>
      <c r="J86" s="298">
        <v>5.8116700278296428E-3</v>
      </c>
      <c r="K86" s="298">
        <v>2.9855222275943743E-3</v>
      </c>
      <c r="L86" s="298">
        <v>2.3272957918215429E-3</v>
      </c>
      <c r="M86" s="298">
        <v>3.1075268606800422E-3</v>
      </c>
      <c r="N86" s="298">
        <v>1.6642059470906843E-3</v>
      </c>
      <c r="O86" s="298">
        <v>5.0465814106315395E-4</v>
      </c>
      <c r="P86" s="298">
        <v>2.4652728971896356E-3</v>
      </c>
      <c r="Q86" s="298">
        <v>5.6815989694872823E-4</v>
      </c>
      <c r="R86" s="298">
        <v>2.910084521893625E-3</v>
      </c>
      <c r="S86" s="298">
        <v>2.910084521893625E-3</v>
      </c>
      <c r="T86" s="298">
        <v>2.910084521893625E-3</v>
      </c>
      <c r="U86" s="298">
        <v>2.910084521893625E-3</v>
      </c>
      <c r="Y86" s="45"/>
      <c r="Z86" s="45"/>
      <c r="AA86" s="45"/>
      <c r="AB86" s="45"/>
      <c r="AC86" s="45"/>
      <c r="AD86" s="45"/>
      <c r="AE86" s="45"/>
    </row>
    <row r="87" spans="1:31" ht="14.4" x14ac:dyDescent="0.3">
      <c r="A87" s="43">
        <v>25</v>
      </c>
      <c r="B87" s="43"/>
      <c r="C87" s="1"/>
      <c r="D87" s="298">
        <v>9.1460847189836905</v>
      </c>
      <c r="E87" s="298">
        <v>3.3287755929835949</v>
      </c>
      <c r="F87" s="298">
        <v>2.4769082641614584</v>
      </c>
      <c r="G87" s="298">
        <v>1.4065816239828657</v>
      </c>
      <c r="H87" s="298">
        <v>0.9812541545579192</v>
      </c>
      <c r="I87" s="298">
        <v>0.87516515937476913</v>
      </c>
      <c r="J87" s="298">
        <v>1.0203047520164361</v>
      </c>
      <c r="K87" s="298">
        <v>0.89181945133108653</v>
      </c>
      <c r="L87" s="298">
        <v>0.77335390981045959</v>
      </c>
      <c r="M87" s="298">
        <v>0.680943962179267</v>
      </c>
      <c r="N87" s="298">
        <v>0.60410783726699213</v>
      </c>
      <c r="O87" s="298">
        <v>0.59625159344747769</v>
      </c>
      <c r="P87" s="298">
        <v>0.57911197721694829</v>
      </c>
      <c r="Q87" s="298">
        <v>0.47588131924725879</v>
      </c>
      <c r="R87" s="298">
        <v>0.48332856078705327</v>
      </c>
      <c r="S87" s="298">
        <v>0.48332856078705327</v>
      </c>
      <c r="T87" s="298">
        <v>0.48332856078705327</v>
      </c>
      <c r="U87" s="298">
        <v>0.48332856078705327</v>
      </c>
    </row>
    <row r="88" spans="1:31" ht="14.4" x14ac:dyDescent="0.3">
      <c r="A88" s="43">
        <v>26</v>
      </c>
      <c r="B88" s="43"/>
      <c r="C88" s="1"/>
      <c r="D88" s="298">
        <v>5.0821504219815294E-2</v>
      </c>
      <c r="E88" s="298">
        <v>5.5062549483802257E-2</v>
      </c>
      <c r="F88" s="298">
        <v>2.6569838221547654E-2</v>
      </c>
      <c r="G88" s="298">
        <v>1.7180710354120391E-2</v>
      </c>
      <c r="H88" s="298">
        <v>1.4413765296386657E-2</v>
      </c>
      <c r="I88" s="298">
        <v>1.340051166752103E-2</v>
      </c>
      <c r="J88" s="298">
        <v>1.2261667576280695E-2</v>
      </c>
      <c r="K88" s="298">
        <v>1.1494261330574136E-2</v>
      </c>
      <c r="L88" s="298">
        <v>1.1502164549246671E-2</v>
      </c>
      <c r="M88" s="298">
        <v>6.3586835670058186E-3</v>
      </c>
      <c r="N88" s="298">
        <v>5.7283366829020497E-3</v>
      </c>
      <c r="O88" s="298">
        <v>1.4156391535011382E-3</v>
      </c>
      <c r="P88" s="298">
        <v>2.35923526977449E-3</v>
      </c>
      <c r="Q88" s="298">
        <v>3.048115692564884E-3</v>
      </c>
      <c r="R88" s="298">
        <v>2.505817916151253E-3</v>
      </c>
      <c r="S88" s="298">
        <v>2.505817916151253E-3</v>
      </c>
      <c r="T88" s="298">
        <v>2.505817916151253E-3</v>
      </c>
      <c r="U88" s="298">
        <v>2.505817916151253E-3</v>
      </c>
      <c r="Y88" s="45"/>
      <c r="Z88" s="45"/>
      <c r="AA88" s="45"/>
      <c r="AB88" s="45"/>
      <c r="AC88" s="45"/>
      <c r="AD88" s="45"/>
      <c r="AE88" s="45"/>
    </row>
    <row r="89" spans="1:31" ht="14.4" x14ac:dyDescent="0.3">
      <c r="A89" s="43">
        <v>27</v>
      </c>
      <c r="B89" s="43"/>
      <c r="C89" s="1"/>
      <c r="D89" s="298">
        <v>0.21238680360962095</v>
      </c>
      <c r="E89" s="298">
        <v>0.25707405179893289</v>
      </c>
      <c r="F89" s="298">
        <v>0.16073741316951387</v>
      </c>
      <c r="G89" s="298">
        <v>0.17380962651022741</v>
      </c>
      <c r="H89" s="298">
        <v>9.1193806224074303E-2</v>
      </c>
      <c r="I89" s="298">
        <v>0.33088372878460953</v>
      </c>
      <c r="J89" s="298">
        <v>0.40809218499146371</v>
      </c>
      <c r="K89" s="298">
        <v>0.28326195110267732</v>
      </c>
      <c r="L89" s="298">
        <v>0.20563582476045428</v>
      </c>
      <c r="M89" s="298">
        <v>0.15760505021576746</v>
      </c>
      <c r="N89" s="298">
        <v>9.9377043514666238E-2</v>
      </c>
      <c r="O89" s="298">
        <v>7.5391622206023953E-2</v>
      </c>
      <c r="P89" s="298">
        <v>6.8011485955306775E-2</v>
      </c>
      <c r="Q89" s="298">
        <v>5.56664765461901E-2</v>
      </c>
      <c r="R89" s="298">
        <v>5.3354821022066533E-2</v>
      </c>
      <c r="S89" s="298">
        <v>5.3354821022066533E-2</v>
      </c>
      <c r="T89" s="298">
        <v>5.3354821022066533E-2</v>
      </c>
      <c r="U89" s="298">
        <v>5.3354821022066533E-2</v>
      </c>
      <c r="Y89" s="45"/>
      <c r="Z89" s="45"/>
      <c r="AA89" s="45"/>
      <c r="AB89" s="45"/>
    </row>
    <row r="90" spans="1:31" ht="14.4" x14ac:dyDescent="0.3">
      <c r="A90" s="43">
        <v>28</v>
      </c>
      <c r="B90" s="43"/>
      <c r="C90" s="1"/>
      <c r="D90" s="298">
        <v>1.9392625777396737E-2</v>
      </c>
      <c r="E90" s="298">
        <v>4.7102518518670457E-2</v>
      </c>
      <c r="F90" s="298">
        <v>2.8971418661601897E-2</v>
      </c>
      <c r="G90" s="298">
        <v>1.1872541264805246E-2</v>
      </c>
      <c r="H90" s="298">
        <v>6.9611130983163278E-3</v>
      </c>
      <c r="I90" s="298">
        <v>8.5362681900183323E-3</v>
      </c>
      <c r="J90" s="298">
        <v>1.2556658041302614E-2</v>
      </c>
      <c r="K90" s="298">
        <v>1.0537656791068419E-2</v>
      </c>
      <c r="L90" s="298">
        <v>9.2930775732190107E-3</v>
      </c>
      <c r="M90" s="298">
        <v>3.3090135809581808E-3</v>
      </c>
      <c r="N90" s="298">
        <v>8.4429509332862738E-4</v>
      </c>
      <c r="O90" s="298">
        <v>1.7536756837702497E-3</v>
      </c>
      <c r="P90" s="298">
        <v>1.2486380283558422E-3</v>
      </c>
      <c r="Q90" s="298">
        <v>3.2293207653354824E-3</v>
      </c>
      <c r="R90" s="298">
        <v>2.7333925969108054E-3</v>
      </c>
      <c r="S90" s="298">
        <v>2.7333925969108054E-3</v>
      </c>
      <c r="T90" s="298">
        <v>2.7333925969108054E-3</v>
      </c>
      <c r="U90" s="298">
        <v>2.7333925969108054E-3</v>
      </c>
      <c r="Y90" s="45"/>
      <c r="Z90" s="45"/>
      <c r="AA90" s="45"/>
      <c r="AB90" s="45"/>
      <c r="AC90" s="45"/>
      <c r="AD90" s="45"/>
      <c r="AE90" s="45"/>
    </row>
    <row r="91" spans="1:31" ht="14.4" x14ac:dyDescent="0.3">
      <c r="A91" s="43">
        <v>29</v>
      </c>
      <c r="B91" s="43"/>
      <c r="C91" s="1"/>
      <c r="D91" s="298">
        <v>6.5146861253923207</v>
      </c>
      <c r="E91" s="298">
        <v>2.6788137999966111</v>
      </c>
      <c r="F91" s="298">
        <v>1.6106667515221753</v>
      </c>
      <c r="G91" s="298">
        <v>1.3975423047728013</v>
      </c>
      <c r="H91" s="298">
        <v>1.3999934630363924</v>
      </c>
      <c r="I91" s="298">
        <v>1.0907850218496227</v>
      </c>
      <c r="J91" s="298">
        <v>0.75870567381450926</v>
      </c>
      <c r="K91" s="298">
        <v>0.75678843679568575</v>
      </c>
      <c r="L91" s="298">
        <v>0.75575983296320848</v>
      </c>
      <c r="M91" s="298">
        <v>0.72478506133268517</v>
      </c>
      <c r="N91" s="298">
        <v>0.61840577400138186</v>
      </c>
      <c r="O91" s="298">
        <v>0.50578743449988961</v>
      </c>
      <c r="P91" s="298">
        <v>0.46727025134098182</v>
      </c>
      <c r="Q91" s="298">
        <v>0.45386743782930422</v>
      </c>
      <c r="R91" s="298">
        <v>0.4514293951690499</v>
      </c>
      <c r="S91" s="298">
        <v>0.4514293951690499</v>
      </c>
      <c r="T91" s="298">
        <v>0.4514293951690499</v>
      </c>
      <c r="U91" s="298">
        <v>0.4514293951690499</v>
      </c>
    </row>
    <row r="92" spans="1:31" ht="14.4" x14ac:dyDescent="0.3">
      <c r="A92" s="43">
        <v>30</v>
      </c>
      <c r="B92" s="43"/>
      <c r="C92" s="1"/>
      <c r="D92" s="298">
        <v>3.4884370898550648E-2</v>
      </c>
      <c r="E92" s="298">
        <v>4.1765772225850796E-3</v>
      </c>
      <c r="F92" s="298">
        <v>3.1945642193693534E-3</v>
      </c>
      <c r="G92" s="298">
        <v>3.60287707209932E-3</v>
      </c>
      <c r="H92" s="298">
        <v>3.2920300374340902E-3</v>
      </c>
      <c r="I92" s="298">
        <v>5.0314868423076246E-3</v>
      </c>
      <c r="J92" s="298">
        <v>4.6053075814346854E-3</v>
      </c>
      <c r="K92" s="298">
        <v>3.6991571943863818E-3</v>
      </c>
      <c r="L92" s="298">
        <v>1.9564019833816105E-3</v>
      </c>
      <c r="M92" s="298">
        <v>2.8717553777810353E-3</v>
      </c>
      <c r="N92" s="298">
        <v>2.6821760992090326E-3</v>
      </c>
      <c r="O92" s="298">
        <v>5.3985110846739104E-4</v>
      </c>
      <c r="P92" s="298">
        <v>8.6189772740157076E-4</v>
      </c>
      <c r="Q92" s="298">
        <v>7.0587971191137216E-4</v>
      </c>
      <c r="R92" s="298">
        <v>2.5967183728580682E-3</v>
      </c>
      <c r="S92" s="298">
        <v>2.5967183728580682E-3</v>
      </c>
      <c r="T92" s="298">
        <v>2.5967183728580682E-3</v>
      </c>
      <c r="U92" s="298">
        <v>2.5967183728580682E-3</v>
      </c>
      <c r="Y92" s="45"/>
      <c r="Z92" s="45"/>
      <c r="AA92" s="45"/>
      <c r="AB92" s="45"/>
      <c r="AC92" s="45"/>
      <c r="AD92" s="45"/>
      <c r="AE92" s="45"/>
    </row>
    <row r="93" spans="1:31" ht="14.4" x14ac:dyDescent="0.3">
      <c r="A93" s="43">
        <v>31</v>
      </c>
      <c r="B93" s="43"/>
      <c r="C93" s="1"/>
      <c r="D93" s="298">
        <v>6.3339107327432735</v>
      </c>
      <c r="E93" s="298">
        <v>2.4858685050570775</v>
      </c>
      <c r="F93" s="298">
        <v>1.4322222537619056</v>
      </c>
      <c r="G93" s="298">
        <v>0.82280279165842463</v>
      </c>
      <c r="H93" s="298">
        <v>0.68512353629472578</v>
      </c>
      <c r="I93" s="298">
        <v>0.58112005814292844</v>
      </c>
      <c r="J93" s="298">
        <v>0.56772740214173922</v>
      </c>
      <c r="K93" s="298">
        <v>0.46221863452787271</v>
      </c>
      <c r="L93" s="298">
        <v>0.42486576546865334</v>
      </c>
      <c r="M93" s="298">
        <v>0.43056874893088998</v>
      </c>
      <c r="N93" s="298">
        <v>0.43268010175951643</v>
      </c>
      <c r="O93" s="298">
        <v>0.37617527613812002</v>
      </c>
      <c r="P93" s="298">
        <v>0.31678577460681751</v>
      </c>
      <c r="Q93" s="298">
        <v>0.30877008317967913</v>
      </c>
      <c r="R93" s="298">
        <v>0.3120658886678041</v>
      </c>
      <c r="S93" s="298">
        <v>0.3120658886678041</v>
      </c>
      <c r="T93" s="298">
        <v>0.3120658886678041</v>
      </c>
      <c r="U93" s="298">
        <v>0.3120658886678041</v>
      </c>
    </row>
    <row r="94" spans="1:31" ht="14.4" x14ac:dyDescent="0.3">
      <c r="A94" s="43">
        <v>32</v>
      </c>
      <c r="B94" s="43"/>
      <c r="C94" s="1"/>
      <c r="D94" s="298">
        <v>4.6506205535545839E-2</v>
      </c>
      <c r="E94" s="298">
        <v>3.3260518350729629E-2</v>
      </c>
      <c r="F94" s="298">
        <v>2.9586195514357663E-2</v>
      </c>
      <c r="G94" s="298">
        <v>1.9535797704362808E-2</v>
      </c>
      <c r="H94" s="298">
        <v>1.4563606306652922E-2</v>
      </c>
      <c r="I94" s="298">
        <v>1.305927336868163E-2</v>
      </c>
      <c r="J94" s="298">
        <v>8.8970610246392086E-3</v>
      </c>
      <c r="K94" s="298">
        <v>1.1901375104307985E-2</v>
      </c>
      <c r="L94" s="298">
        <v>1.1921658515740853E-2</v>
      </c>
      <c r="M94" s="298">
        <v>5.9187663071225798E-3</v>
      </c>
      <c r="N94" s="298">
        <v>4.587462629749072E-3</v>
      </c>
      <c r="O94" s="298">
        <v>1.2699646308248702E-3</v>
      </c>
      <c r="P94" s="298">
        <v>2.2444292602197963E-3</v>
      </c>
      <c r="Q94" s="298">
        <v>2.8384966763810126E-3</v>
      </c>
      <c r="R94" s="298">
        <v>2.9287371239286731E-3</v>
      </c>
      <c r="S94" s="298">
        <v>2.9287371239286731E-3</v>
      </c>
      <c r="T94" s="298">
        <v>2.9287371239286731E-3</v>
      </c>
      <c r="U94" s="298">
        <v>2.9287371239286731E-3</v>
      </c>
      <c r="Y94" s="45"/>
      <c r="Z94" s="45"/>
      <c r="AA94" s="45"/>
      <c r="AB94" s="45"/>
      <c r="AC94" s="45"/>
      <c r="AD94" s="45"/>
      <c r="AE94" s="45"/>
    </row>
    <row r="95" spans="1:31" ht="14.4" x14ac:dyDescent="0.3">
      <c r="A95" s="43">
        <v>33</v>
      </c>
      <c r="B95" s="43"/>
      <c r="C95" s="1"/>
      <c r="D95" s="298">
        <v>0.30274927892914244</v>
      </c>
      <c r="E95" s="298">
        <v>1.7216657169820748E-2</v>
      </c>
      <c r="F95" s="298">
        <v>0.12233571605865014</v>
      </c>
      <c r="G95" s="298">
        <v>0.13605621192601108</v>
      </c>
      <c r="H95" s="298">
        <v>7.0763148414675126E-2</v>
      </c>
      <c r="I95" s="298">
        <v>0.26563628264177047</v>
      </c>
      <c r="J95" s="298">
        <v>0.34165566585023771</v>
      </c>
      <c r="K95" s="298">
        <v>0.22742267911109676</v>
      </c>
      <c r="L95" s="298">
        <v>0.15381673439332844</v>
      </c>
      <c r="M95" s="298">
        <v>0.11558930646976719</v>
      </c>
      <c r="N95" s="298">
        <v>8.4151409301761251E-2</v>
      </c>
      <c r="O95" s="298">
        <v>6.7503639523961864E-2</v>
      </c>
      <c r="P95" s="298">
        <v>5.6413371607669127E-2</v>
      </c>
      <c r="Q95" s="298">
        <v>4.1647697018963321E-2</v>
      </c>
      <c r="R95" s="298">
        <v>3.9799798597555773E-2</v>
      </c>
      <c r="S95" s="298">
        <v>3.9799798597555773E-2</v>
      </c>
      <c r="T95" s="298">
        <v>3.9799798597555773E-2</v>
      </c>
      <c r="U95" s="298">
        <v>3.9799798597555773E-2</v>
      </c>
      <c r="Y95" s="45"/>
      <c r="Z95" s="45"/>
      <c r="AA95" s="45"/>
      <c r="AB95" s="45"/>
      <c r="AE95" s="45"/>
    </row>
    <row r="96" spans="1:31" ht="14.4" x14ac:dyDescent="0.3">
      <c r="A96" s="43">
        <v>34</v>
      </c>
      <c r="B96" s="43"/>
      <c r="C96" s="1"/>
      <c r="D96" s="298">
        <v>0.15658261184107439</v>
      </c>
      <c r="E96" s="298">
        <v>6.9206297258360139E-2</v>
      </c>
      <c r="F96" s="298">
        <v>0.11719738000471913</v>
      </c>
      <c r="G96" s="298">
        <v>9.0950515996728487E-2</v>
      </c>
      <c r="H96" s="298">
        <v>5.6069430808107633E-2</v>
      </c>
      <c r="I96" s="298">
        <v>0.18457651004529252</v>
      </c>
      <c r="J96" s="298">
        <v>0.21861320828195963</v>
      </c>
      <c r="K96" s="298">
        <v>0.14805460867942424</v>
      </c>
      <c r="L96" s="298">
        <v>0.10865726471480185</v>
      </c>
      <c r="M96" s="298">
        <v>8.7921961526698345E-2</v>
      </c>
      <c r="N96" s="298">
        <v>5.8256465500538285E-2</v>
      </c>
      <c r="O96" s="298">
        <v>4.4253058727944716E-2</v>
      </c>
      <c r="P96" s="298">
        <v>3.9509788445304235E-2</v>
      </c>
      <c r="Q96" s="298">
        <v>2.9542651780987427E-2</v>
      </c>
      <c r="R96" s="298">
        <v>2.8071591122090556E-2</v>
      </c>
      <c r="S96" s="298">
        <v>2.8071591122090556E-2</v>
      </c>
      <c r="T96" s="298">
        <v>2.8071591122090556E-2</v>
      </c>
      <c r="U96" s="298">
        <v>2.8071591122090556E-2</v>
      </c>
      <c r="Y96" s="45"/>
      <c r="Z96" s="45"/>
      <c r="AA96" s="45"/>
      <c r="AB96" s="45"/>
      <c r="AC96" s="45"/>
      <c r="AD96" s="45"/>
      <c r="AE96" s="45"/>
    </row>
    <row r="97" spans="1:31" ht="14.4" x14ac:dyDescent="0.3">
      <c r="A97" s="43">
        <v>35</v>
      </c>
      <c r="B97" s="43"/>
      <c r="C97" s="1"/>
      <c r="D97" s="298">
        <v>5.9029852258662023</v>
      </c>
      <c r="E97" s="298">
        <v>1.4733260588243429</v>
      </c>
      <c r="F97" s="298">
        <v>1.2803616292235322</v>
      </c>
      <c r="G97" s="298">
        <v>1.0290257258239199</v>
      </c>
      <c r="H97" s="298">
        <v>0.95078684693100002</v>
      </c>
      <c r="I97" s="298">
        <v>0.68755518357204037</v>
      </c>
      <c r="J97" s="298">
        <v>0.51648077967213191</v>
      </c>
      <c r="K97" s="298">
        <v>0.5658478637815777</v>
      </c>
      <c r="L97" s="298">
        <v>0.55172205299175037</v>
      </c>
      <c r="M97" s="298">
        <v>0.48796466250698262</v>
      </c>
      <c r="N97" s="298">
        <v>0.39029335703643686</v>
      </c>
      <c r="O97" s="298">
        <v>0.36343466624775511</v>
      </c>
      <c r="P97" s="298">
        <v>0.35166631128246867</v>
      </c>
      <c r="Q97" s="298">
        <v>0.28545240285608292</v>
      </c>
      <c r="R97" s="298">
        <v>0.28281840150514814</v>
      </c>
      <c r="S97" s="298">
        <v>0.28281840150514814</v>
      </c>
      <c r="T97" s="298">
        <v>0.28281840150514814</v>
      </c>
      <c r="U97" s="298">
        <v>0.28281840150514814</v>
      </c>
    </row>
    <row r="98" spans="1:31" ht="14.4" x14ac:dyDescent="0.3">
      <c r="A98" s="43">
        <v>36</v>
      </c>
      <c r="B98" s="43"/>
      <c r="C98" s="1"/>
      <c r="D98" s="298">
        <v>0.15658261184107439</v>
      </c>
      <c r="E98" s="298">
        <v>6.9206297258360139E-2</v>
      </c>
      <c r="F98" s="298">
        <v>0.11719738000471913</v>
      </c>
      <c r="G98" s="298">
        <v>9.0950515996728487E-2</v>
      </c>
      <c r="H98" s="298">
        <v>5.6069430808107633E-2</v>
      </c>
      <c r="I98" s="298">
        <v>0.18457651004529252</v>
      </c>
      <c r="J98" s="298">
        <v>0.21861320828195963</v>
      </c>
      <c r="K98" s="298">
        <v>0.14805460867942424</v>
      </c>
      <c r="L98" s="298">
        <v>0.10865726471480185</v>
      </c>
      <c r="M98" s="298">
        <v>8.7921961526698345E-2</v>
      </c>
      <c r="N98" s="298">
        <v>5.8256465500538285E-2</v>
      </c>
      <c r="O98" s="298">
        <v>4.4253058727944716E-2</v>
      </c>
      <c r="P98" s="298">
        <v>3.9509788445304235E-2</v>
      </c>
      <c r="Q98" s="298">
        <v>2.9542651780987427E-2</v>
      </c>
      <c r="R98" s="298">
        <v>2.8071591122090556E-2</v>
      </c>
      <c r="S98" s="298">
        <v>2.8071591122090556E-2</v>
      </c>
      <c r="T98" s="298">
        <v>2.8071591122090556E-2</v>
      </c>
      <c r="U98" s="298">
        <v>2.8071591122090556E-2</v>
      </c>
      <c r="Y98" s="45"/>
      <c r="Z98" s="45"/>
      <c r="AA98" s="45"/>
      <c r="AB98" s="45"/>
      <c r="AC98" s="45"/>
      <c r="AD98" s="45"/>
      <c r="AE98" s="45"/>
    </row>
    <row r="99" spans="1:31" ht="14.4" x14ac:dyDescent="0.3">
      <c r="A99" s="43">
        <v>37</v>
      </c>
      <c r="B99" s="43"/>
      <c r="C99" s="1"/>
      <c r="D99" s="298">
        <v>4.7242605294817244</v>
      </c>
      <c r="E99" s="298">
        <v>1.4147795985274163</v>
      </c>
      <c r="F99" s="298">
        <v>0.86563302172429457</v>
      </c>
      <c r="G99" s="298">
        <v>0.58792408051231626</v>
      </c>
      <c r="H99" s="298">
        <v>0.44571284137714501</v>
      </c>
      <c r="I99" s="298">
        <v>0.35071388358174704</v>
      </c>
      <c r="J99" s="298">
        <v>0.34192356461046053</v>
      </c>
      <c r="K99" s="298">
        <v>0.32136315457507253</v>
      </c>
      <c r="L99" s="298">
        <v>0.32334277343163409</v>
      </c>
      <c r="M99" s="298">
        <v>0.31458122808120276</v>
      </c>
      <c r="N99" s="298">
        <v>0.26038899134139826</v>
      </c>
      <c r="O99" s="298">
        <v>0.23293659142238254</v>
      </c>
      <c r="P99" s="298">
        <v>0.23495243567481122</v>
      </c>
      <c r="Q99" s="298">
        <v>0.1983093021126322</v>
      </c>
      <c r="R99" s="298">
        <v>0.19995839901366486</v>
      </c>
      <c r="S99" s="298">
        <v>0.19995839901366486</v>
      </c>
      <c r="T99" s="298">
        <v>0.19995839901366486</v>
      </c>
      <c r="U99" s="298">
        <v>0.19995839901366486</v>
      </c>
    </row>
    <row r="100" spans="1:31" ht="14.4" x14ac:dyDescent="0.3">
      <c r="A100" s="43">
        <v>38</v>
      </c>
      <c r="B100" s="43"/>
      <c r="C100" s="1"/>
      <c r="D100" s="298">
        <v>0.15658261184107439</v>
      </c>
      <c r="E100" s="298">
        <v>6.9206297258360139E-2</v>
      </c>
      <c r="F100" s="298">
        <v>0.11719738000471913</v>
      </c>
      <c r="G100" s="298">
        <v>9.0950515996728487E-2</v>
      </c>
      <c r="H100" s="298">
        <v>5.6069430808107633E-2</v>
      </c>
      <c r="I100" s="298">
        <v>0.18457651004529252</v>
      </c>
      <c r="J100" s="298">
        <v>0.21861320828195963</v>
      </c>
      <c r="K100" s="298">
        <v>0.14805460867942424</v>
      </c>
      <c r="L100" s="298">
        <v>0.10865726471480185</v>
      </c>
      <c r="M100" s="298">
        <v>8.7921961526698345E-2</v>
      </c>
      <c r="N100" s="298">
        <v>5.8256465500538285E-2</v>
      </c>
      <c r="O100" s="298">
        <v>4.4253058727944716E-2</v>
      </c>
      <c r="P100" s="298">
        <v>3.9509788445304235E-2</v>
      </c>
      <c r="Q100" s="298">
        <v>2.9542651780987427E-2</v>
      </c>
      <c r="R100" s="298">
        <v>2.8071591122090556E-2</v>
      </c>
      <c r="S100" s="298">
        <v>2.8071591122090556E-2</v>
      </c>
      <c r="T100" s="298">
        <v>2.8071591122090556E-2</v>
      </c>
      <c r="U100" s="298">
        <v>2.8071591122090556E-2</v>
      </c>
      <c r="Y100" s="45"/>
      <c r="Z100" s="45"/>
      <c r="AA100" s="45"/>
      <c r="AB100" s="45"/>
      <c r="AC100" s="45"/>
      <c r="AD100" s="45"/>
      <c r="AE100" s="45"/>
    </row>
    <row r="101" spans="1:31" ht="14.4" x14ac:dyDescent="0.3">
      <c r="A101" s="43">
        <v>39</v>
      </c>
      <c r="B101" s="43"/>
      <c r="C101" s="1"/>
      <c r="D101" s="298">
        <v>0.2079850899943797</v>
      </c>
      <c r="E101" s="298">
        <v>0.13041647508011303</v>
      </c>
      <c r="F101" s="298">
        <v>0.12947509110634475</v>
      </c>
      <c r="G101" s="298">
        <v>0.11009404781577684</v>
      </c>
      <c r="H101" s="298">
        <v>6.014929527512837E-2</v>
      </c>
      <c r="I101" s="298">
        <v>0.21949671273146126</v>
      </c>
      <c r="J101" s="298">
        <v>0.27640701454444089</v>
      </c>
      <c r="K101" s="298">
        <v>0.17818419975534588</v>
      </c>
      <c r="L101" s="298">
        <v>0.12256174642203793</v>
      </c>
      <c r="M101" s="298">
        <v>9.8387203409769475E-2</v>
      </c>
      <c r="N101" s="298">
        <v>7.1958024598108364E-2</v>
      </c>
      <c r="O101" s="298">
        <v>5.1366620792552581E-2</v>
      </c>
      <c r="P101" s="298">
        <v>4.2850088405828553E-2</v>
      </c>
      <c r="Q101" s="298">
        <v>3.5922322150466021E-2</v>
      </c>
      <c r="R101" s="298">
        <v>3.4556391879303032E-2</v>
      </c>
      <c r="S101" s="298">
        <v>3.4556391879303032E-2</v>
      </c>
      <c r="T101" s="298">
        <v>3.4556391879303032E-2</v>
      </c>
      <c r="U101" s="298">
        <v>3.4556391879303032E-2</v>
      </c>
      <c r="Y101" s="45"/>
      <c r="Z101" s="45"/>
      <c r="AA101" s="45"/>
      <c r="AB101" s="45"/>
      <c r="AE101" s="45"/>
    </row>
    <row r="102" spans="1:31" ht="14.4" x14ac:dyDescent="0.3">
      <c r="A102" s="43">
        <v>40</v>
      </c>
      <c r="B102" s="43"/>
      <c r="C102" s="1"/>
      <c r="D102" s="298">
        <v>0.15658261184107439</v>
      </c>
      <c r="E102" s="298">
        <v>6.9206297258360139E-2</v>
      </c>
      <c r="F102" s="298">
        <v>0.11719738000471913</v>
      </c>
      <c r="G102" s="298">
        <v>9.0950515996728487E-2</v>
      </c>
      <c r="H102" s="298">
        <v>5.6069430808107633E-2</v>
      </c>
      <c r="I102" s="298">
        <v>0.18457651004529252</v>
      </c>
      <c r="J102" s="298">
        <v>0.21861320828195963</v>
      </c>
      <c r="K102" s="298">
        <v>0.14805460867942424</v>
      </c>
      <c r="L102" s="298">
        <v>0.10865726471480185</v>
      </c>
      <c r="M102" s="298">
        <v>8.7921961526698345E-2</v>
      </c>
      <c r="N102" s="298">
        <v>5.8256465500538285E-2</v>
      </c>
      <c r="O102" s="298">
        <v>4.4253058727944716E-2</v>
      </c>
      <c r="P102" s="298">
        <v>3.9509788445304235E-2</v>
      </c>
      <c r="Q102" s="298">
        <v>2.9542651780987427E-2</v>
      </c>
      <c r="R102" s="298">
        <v>2.8071591122090556E-2</v>
      </c>
      <c r="S102" s="298">
        <v>2.8071591122090556E-2</v>
      </c>
      <c r="T102" s="298">
        <v>2.8071591122090556E-2</v>
      </c>
      <c r="U102" s="298">
        <v>2.8071591122090556E-2</v>
      </c>
      <c r="Y102" s="45"/>
      <c r="Z102" s="45"/>
      <c r="AA102" s="45"/>
      <c r="AB102" s="45"/>
      <c r="AC102" s="45"/>
      <c r="AD102" s="45"/>
      <c r="AE102" s="45"/>
    </row>
    <row r="103" spans="1:31" ht="14.4" x14ac:dyDescent="0.3">
      <c r="A103" s="43">
        <v>41</v>
      </c>
      <c r="B103" s="43"/>
      <c r="C103" s="1"/>
      <c r="D103" s="298">
        <v>2.9593523720748518</v>
      </c>
      <c r="E103" s="298">
        <v>1.3960448536050045</v>
      </c>
      <c r="F103" s="298">
        <v>0.9788469484846104</v>
      </c>
      <c r="G103" s="298">
        <v>0.76626902234982497</v>
      </c>
      <c r="H103" s="298">
        <v>0.64986432358583057</v>
      </c>
      <c r="I103" s="298">
        <v>0.49479101470748305</v>
      </c>
      <c r="J103" s="298">
        <v>0.39951328972932304</v>
      </c>
      <c r="K103" s="298">
        <v>0.41594580564321404</v>
      </c>
      <c r="L103" s="298">
        <v>0.37579029347140652</v>
      </c>
      <c r="M103" s="298">
        <v>0.32440122806902955</v>
      </c>
      <c r="N103" s="298">
        <v>0.30529874652047795</v>
      </c>
      <c r="O103" s="298">
        <v>0.272856325769609</v>
      </c>
      <c r="P103" s="298">
        <v>0.23528249165808171</v>
      </c>
      <c r="Q103" s="298">
        <v>0.21930268062364178</v>
      </c>
      <c r="R103" s="298">
        <v>0.21942223358685053</v>
      </c>
      <c r="S103" s="298">
        <v>0.21942223358685053</v>
      </c>
      <c r="T103" s="298">
        <v>0.21942223358685053</v>
      </c>
      <c r="U103" s="298">
        <v>0.21942223358685053</v>
      </c>
    </row>
    <row r="104" spans="1:31" ht="14.4" x14ac:dyDescent="0.3">
      <c r="A104" s="43">
        <v>42</v>
      </c>
      <c r="B104" s="43"/>
      <c r="C104" s="1"/>
      <c r="D104" s="298">
        <v>0.15658261184107439</v>
      </c>
      <c r="E104" s="298">
        <v>6.9206297258360139E-2</v>
      </c>
      <c r="F104" s="298">
        <v>0.11719738000471913</v>
      </c>
      <c r="G104" s="298">
        <v>9.0950515996728487E-2</v>
      </c>
      <c r="H104" s="298">
        <v>5.6069430808107633E-2</v>
      </c>
      <c r="I104" s="298">
        <v>0.18457651004529252</v>
      </c>
      <c r="J104" s="298">
        <v>0.21861320828195963</v>
      </c>
      <c r="K104" s="298">
        <v>0.14805460867942424</v>
      </c>
      <c r="L104" s="298">
        <v>0.10865726471480185</v>
      </c>
      <c r="M104" s="298">
        <v>8.7921961526698345E-2</v>
      </c>
      <c r="N104" s="298">
        <v>5.8256465500538285E-2</v>
      </c>
      <c r="O104" s="298">
        <v>4.4253058727944716E-2</v>
      </c>
      <c r="P104" s="298">
        <v>3.9509788445304235E-2</v>
      </c>
      <c r="Q104" s="298">
        <v>2.9542651780987427E-2</v>
      </c>
      <c r="R104" s="298">
        <v>2.8071591122090556E-2</v>
      </c>
      <c r="S104" s="298">
        <v>2.8071591122090556E-2</v>
      </c>
      <c r="T104" s="298">
        <v>2.8071591122090556E-2</v>
      </c>
      <c r="U104" s="298">
        <v>2.8071591122090556E-2</v>
      </c>
      <c r="Y104" s="45"/>
      <c r="Z104" s="45"/>
      <c r="AA104" s="45"/>
      <c r="AB104" s="45"/>
      <c r="AC104" s="45"/>
      <c r="AD104" s="45"/>
      <c r="AE104" s="45"/>
    </row>
    <row r="105" spans="1:31" ht="14.4" x14ac:dyDescent="0.3">
      <c r="A105" s="43">
        <v>43</v>
      </c>
      <c r="B105" s="43"/>
      <c r="C105" s="1"/>
      <c r="D105" s="298">
        <v>2.2178560512821952</v>
      </c>
      <c r="E105" s="298">
        <v>1.1905972320783262</v>
      </c>
      <c r="F105" s="298">
        <v>0.75615175660327605</v>
      </c>
      <c r="G105" s="298">
        <v>0.45362551647456517</v>
      </c>
      <c r="H105" s="298">
        <v>0.28528173727691464</v>
      </c>
      <c r="I105" s="298">
        <v>0.21779752656057286</v>
      </c>
      <c r="J105" s="298">
        <v>0.25538951981730396</v>
      </c>
      <c r="K105" s="298">
        <v>0.24818871965708805</v>
      </c>
      <c r="L105" s="298">
        <v>0.22308863199724832</v>
      </c>
      <c r="M105" s="298">
        <v>0.19779080449305989</v>
      </c>
      <c r="N105" s="298">
        <v>0.1877023014843526</v>
      </c>
      <c r="O105" s="298">
        <v>0.18024721970812474</v>
      </c>
      <c r="P105" s="298">
        <v>0.14969356494618877</v>
      </c>
      <c r="Q105" s="298">
        <v>0.15402172112964774</v>
      </c>
      <c r="R105" s="298">
        <v>0.14788153997371078</v>
      </c>
      <c r="S105" s="298">
        <v>0.14788153997371078</v>
      </c>
      <c r="T105" s="298">
        <v>0.14788153997371078</v>
      </c>
      <c r="U105" s="298">
        <v>0.14788153997371078</v>
      </c>
    </row>
    <row r="106" spans="1:31" ht="14.4" x14ac:dyDescent="0.3">
      <c r="A106" s="43">
        <v>44</v>
      </c>
      <c r="B106" s="43"/>
      <c r="C106" s="1"/>
      <c r="D106" s="298">
        <v>0.15658261184107439</v>
      </c>
      <c r="E106" s="298">
        <v>6.9206297258360139E-2</v>
      </c>
      <c r="F106" s="298">
        <v>0.11719738000471913</v>
      </c>
      <c r="G106" s="298">
        <v>9.0950515996728487E-2</v>
      </c>
      <c r="H106" s="298">
        <v>5.6069430808107633E-2</v>
      </c>
      <c r="I106" s="298">
        <v>0.18457651004529252</v>
      </c>
      <c r="J106" s="298">
        <v>0.21861320828195963</v>
      </c>
      <c r="K106" s="298">
        <v>0.14805460867942424</v>
      </c>
      <c r="L106" s="298">
        <v>0.10865726471480185</v>
      </c>
      <c r="M106" s="298">
        <v>8.7921961526698345E-2</v>
      </c>
      <c r="N106" s="298">
        <v>5.8256465500538285E-2</v>
      </c>
      <c r="O106" s="298">
        <v>4.4253058727944716E-2</v>
      </c>
      <c r="P106" s="298">
        <v>3.9509788445304235E-2</v>
      </c>
      <c r="Q106" s="298">
        <v>2.9542651780987427E-2</v>
      </c>
      <c r="R106" s="298">
        <v>2.8071591122090556E-2</v>
      </c>
      <c r="S106" s="298">
        <v>2.8071591122090556E-2</v>
      </c>
      <c r="T106" s="298">
        <v>2.8071591122090556E-2</v>
      </c>
      <c r="U106" s="298">
        <v>2.8071591122090556E-2</v>
      </c>
      <c r="Y106" s="45"/>
      <c r="Z106" s="45"/>
      <c r="AA106" s="45"/>
      <c r="AB106" s="45"/>
      <c r="AC106" s="45"/>
      <c r="AD106" s="45"/>
      <c r="AE106" s="45"/>
    </row>
    <row r="107" spans="1:31" ht="14.4" x14ac:dyDescent="0.3">
      <c r="A107" s="43">
        <v>45</v>
      </c>
      <c r="B107" s="43"/>
      <c r="C107" s="1"/>
      <c r="D107" s="298">
        <v>0.15674381381219379</v>
      </c>
      <c r="E107" s="298">
        <v>6.9135515452953725E-2</v>
      </c>
      <c r="F107" s="298">
        <v>0.11721931861181524</v>
      </c>
      <c r="G107" s="298">
        <v>9.0976276916425139E-2</v>
      </c>
      <c r="H107" s="298">
        <v>5.5974795488511517E-2</v>
      </c>
      <c r="I107" s="298">
        <v>0.18455139999068912</v>
      </c>
      <c r="J107" s="298">
        <v>0.21866515563030009</v>
      </c>
      <c r="K107" s="298">
        <v>0.14808361462956454</v>
      </c>
      <c r="L107" s="298">
        <v>0.10867252849450271</v>
      </c>
      <c r="M107" s="298">
        <v>8.7932880027034033E-2</v>
      </c>
      <c r="N107" s="298">
        <v>5.8261619608528936E-2</v>
      </c>
      <c r="O107" s="298">
        <v>4.4254803859095013E-2</v>
      </c>
      <c r="P107" s="298">
        <v>3.9511622355493263E-2</v>
      </c>
      <c r="Q107" s="298">
        <v>2.9543012509050892E-2</v>
      </c>
      <c r="R107" s="298">
        <v>2.8071590865564936E-2</v>
      </c>
      <c r="S107" s="298">
        <v>2.8071590865564936E-2</v>
      </c>
      <c r="T107" s="298">
        <v>2.8071590865564936E-2</v>
      </c>
      <c r="U107" s="298">
        <v>2.8071590865564936E-2</v>
      </c>
      <c r="Y107" s="45"/>
      <c r="Z107" s="45"/>
      <c r="AA107" s="45"/>
      <c r="AB107" s="45"/>
      <c r="AC107" s="45"/>
      <c r="AD107" s="45"/>
      <c r="AE107" s="45"/>
    </row>
    <row r="108" spans="1:31" ht="14.4" x14ac:dyDescent="0.3">
      <c r="A108" s="43">
        <v>46</v>
      </c>
      <c r="B108" s="43"/>
      <c r="C108" s="1"/>
      <c r="D108" s="298">
        <v>0.15658261184107439</v>
      </c>
      <c r="E108" s="298">
        <v>6.9206297258360139E-2</v>
      </c>
      <c r="F108" s="298">
        <v>0.11719738000471913</v>
      </c>
      <c r="G108" s="298">
        <v>9.0950515996728487E-2</v>
      </c>
      <c r="H108" s="298">
        <v>5.6069430808107633E-2</v>
      </c>
      <c r="I108" s="298">
        <v>0.18457651004529252</v>
      </c>
      <c r="J108" s="298">
        <v>0.21861320828195963</v>
      </c>
      <c r="K108" s="298">
        <v>0.14805460867942424</v>
      </c>
      <c r="L108" s="298">
        <v>0.10865726471480185</v>
      </c>
      <c r="M108" s="298">
        <v>8.7921961526698345E-2</v>
      </c>
      <c r="N108" s="298">
        <v>5.8256465500538285E-2</v>
      </c>
      <c r="O108" s="298">
        <v>4.4253058727944716E-2</v>
      </c>
      <c r="P108" s="298">
        <v>3.9509788445304235E-2</v>
      </c>
      <c r="Q108" s="298">
        <v>2.9542651780987427E-2</v>
      </c>
      <c r="R108" s="298">
        <v>2.8071591122090556E-2</v>
      </c>
      <c r="S108" s="298">
        <v>2.8071591122090556E-2</v>
      </c>
      <c r="T108" s="298">
        <v>2.8071591122090556E-2</v>
      </c>
      <c r="U108" s="298">
        <v>2.8071591122090556E-2</v>
      </c>
      <c r="Y108" s="45"/>
      <c r="Z108" s="45"/>
      <c r="AA108" s="45"/>
      <c r="AB108" s="45"/>
      <c r="AC108" s="45"/>
      <c r="AD108" s="45"/>
      <c r="AE108" s="45"/>
    </row>
    <row r="109" spans="1:31" ht="14.4" x14ac:dyDescent="0.3">
      <c r="A109" s="43">
        <v>47</v>
      </c>
      <c r="B109" s="43"/>
      <c r="C109" s="1"/>
      <c r="D109" s="298">
        <v>2.3268630691236321</v>
      </c>
      <c r="E109" s="298">
        <v>0.78641478977548207</v>
      </c>
      <c r="F109" s="298">
        <v>0.65683719239534155</v>
      </c>
      <c r="G109" s="298">
        <v>0.58143321676267457</v>
      </c>
      <c r="H109" s="298">
        <v>0.44928960665019158</v>
      </c>
      <c r="I109" s="298">
        <v>0.41294151992551731</v>
      </c>
      <c r="J109" s="298">
        <v>0.2940568330031525</v>
      </c>
      <c r="K109" s="298">
        <v>0.2786885915405366</v>
      </c>
      <c r="L109" s="298">
        <v>0.26697263616116279</v>
      </c>
      <c r="M109" s="298">
        <v>0.26064585390490097</v>
      </c>
      <c r="N109" s="298">
        <v>0.2367936036530196</v>
      </c>
      <c r="O109" s="298">
        <v>0.19038468562778788</v>
      </c>
      <c r="P109" s="298">
        <v>0.18456070692514012</v>
      </c>
      <c r="Q109" s="298">
        <v>0.16108516476637483</v>
      </c>
      <c r="R109" s="298">
        <v>0.15522073313539117</v>
      </c>
      <c r="S109" s="298">
        <v>0.15522073313539117</v>
      </c>
      <c r="T109" s="298">
        <v>0.15522073313539117</v>
      </c>
      <c r="U109" s="298">
        <v>0.15522073313539117</v>
      </c>
    </row>
    <row r="110" spans="1:31" ht="14.4" x14ac:dyDescent="0.3">
      <c r="A110" s="43">
        <v>48</v>
      </c>
      <c r="B110" s="43"/>
      <c r="C110" s="1"/>
      <c r="D110" s="298">
        <v>0.15658261184107439</v>
      </c>
      <c r="E110" s="298">
        <v>6.9206297258360139E-2</v>
      </c>
      <c r="F110" s="298">
        <v>0.11719738000471913</v>
      </c>
      <c r="G110" s="298">
        <v>9.0950515996728487E-2</v>
      </c>
      <c r="H110" s="298">
        <v>5.6069430808107633E-2</v>
      </c>
      <c r="I110" s="298">
        <v>0.18457651004529252</v>
      </c>
      <c r="J110" s="298">
        <v>0.21861320828195963</v>
      </c>
      <c r="K110" s="298">
        <v>0.14805460867942424</v>
      </c>
      <c r="L110" s="298">
        <v>0.10865726471480185</v>
      </c>
      <c r="M110" s="298">
        <v>8.7921961526698345E-2</v>
      </c>
      <c r="N110" s="298">
        <v>5.8256465500538285E-2</v>
      </c>
      <c r="O110" s="298">
        <v>4.4253058727944716E-2</v>
      </c>
      <c r="P110" s="298">
        <v>3.9509788445304235E-2</v>
      </c>
      <c r="Q110" s="298">
        <v>2.9542651780987427E-2</v>
      </c>
      <c r="R110" s="298">
        <v>2.8071591122090556E-2</v>
      </c>
      <c r="S110" s="298">
        <v>2.8071591122090556E-2</v>
      </c>
      <c r="T110" s="298">
        <v>2.8071591122090556E-2</v>
      </c>
      <c r="U110" s="298">
        <v>2.8071591122090556E-2</v>
      </c>
      <c r="Y110" s="45"/>
      <c r="Z110" s="45"/>
      <c r="AA110" s="45"/>
      <c r="AB110" s="45"/>
      <c r="AC110" s="45"/>
      <c r="AD110" s="45"/>
      <c r="AE110" s="45"/>
    </row>
    <row r="111" spans="1:31" ht="14.4" x14ac:dyDescent="0.3">
      <c r="A111" s="43">
        <v>49</v>
      </c>
      <c r="B111" s="43"/>
      <c r="C111" s="1"/>
      <c r="D111" s="298">
        <v>2.222090686942058</v>
      </c>
      <c r="E111" s="298">
        <v>0.8231320290067401</v>
      </c>
      <c r="F111" s="298">
        <v>0.54372728367538525</v>
      </c>
      <c r="G111" s="298">
        <v>0.33388586731319231</v>
      </c>
      <c r="H111" s="298">
        <v>0.20472977887589594</v>
      </c>
      <c r="I111" s="298">
        <v>0.16067909526322774</v>
      </c>
      <c r="J111" s="298">
        <v>0.19635848943192444</v>
      </c>
      <c r="K111" s="298">
        <v>0.18022284651166184</v>
      </c>
      <c r="L111" s="298">
        <v>0.15241194609444156</v>
      </c>
      <c r="M111" s="298">
        <v>0.14568078669873447</v>
      </c>
      <c r="N111" s="298">
        <v>0.14316623416465049</v>
      </c>
      <c r="O111" s="298">
        <v>0.11820986355275069</v>
      </c>
      <c r="P111" s="298">
        <v>0.11324661442841535</v>
      </c>
      <c r="Q111" s="298">
        <v>0.10591950094820782</v>
      </c>
      <c r="R111" s="298">
        <v>0.10181373046970461</v>
      </c>
      <c r="S111" s="298">
        <v>0.10181373046970461</v>
      </c>
      <c r="T111" s="298">
        <v>0.10181373046970461</v>
      </c>
      <c r="U111" s="298">
        <v>0.10181373046970461</v>
      </c>
    </row>
    <row r="112" spans="1:31" ht="14.4" x14ac:dyDescent="0.3">
      <c r="A112" s="43">
        <v>50</v>
      </c>
      <c r="B112" s="43"/>
      <c r="C112" s="1"/>
      <c r="D112" s="298">
        <v>0.15658261184107439</v>
      </c>
      <c r="E112" s="298">
        <v>6.9206297258360139E-2</v>
      </c>
      <c r="F112" s="298">
        <v>0.11719738000471913</v>
      </c>
      <c r="G112" s="298">
        <v>9.0950515996728487E-2</v>
      </c>
      <c r="H112" s="298">
        <v>5.6069430808107633E-2</v>
      </c>
      <c r="I112" s="298">
        <v>0.18457651004529252</v>
      </c>
      <c r="J112" s="298">
        <v>0.21861320828195963</v>
      </c>
      <c r="K112" s="298">
        <v>0.14805460867942424</v>
      </c>
      <c r="L112" s="298">
        <v>0.10865726471480185</v>
      </c>
      <c r="M112" s="298">
        <v>8.7921961526698345E-2</v>
      </c>
      <c r="N112" s="298">
        <v>5.8256465500538285E-2</v>
      </c>
      <c r="O112" s="298">
        <v>4.4253058727944716E-2</v>
      </c>
      <c r="P112" s="298">
        <v>3.9509788445304235E-2</v>
      </c>
      <c r="Q112" s="298">
        <v>2.9542651780987427E-2</v>
      </c>
      <c r="R112" s="298">
        <v>2.8071591122090556E-2</v>
      </c>
      <c r="S112" s="298">
        <v>2.8071591122090556E-2</v>
      </c>
      <c r="T112" s="298">
        <v>2.8071591122090556E-2</v>
      </c>
      <c r="U112" s="298">
        <v>2.8071591122090556E-2</v>
      </c>
      <c r="Y112" s="45"/>
      <c r="Z112" s="45"/>
      <c r="AA112" s="45"/>
      <c r="AB112" s="45"/>
      <c r="AC112" s="45"/>
      <c r="AD112" s="45"/>
      <c r="AE112" s="45"/>
    </row>
    <row r="113" spans="2:21" x14ac:dyDescent="0.25">
      <c r="D113" s="53"/>
      <c r="E113" s="46"/>
      <c r="F113" s="46"/>
      <c r="G113" s="46"/>
      <c r="H113" s="46"/>
      <c r="I113" s="46"/>
      <c r="J113" s="46"/>
      <c r="K113" s="46"/>
      <c r="L113" s="46"/>
    </row>
    <row r="114" spans="2:21" x14ac:dyDescent="0.25">
      <c r="B114" s="36" t="s">
        <v>5</v>
      </c>
      <c r="D114" s="46">
        <f t="shared" ref="D114:U114" si="7">SQRT(SUMSQ(D64:D112))</f>
        <v>163.93774717643851</v>
      </c>
      <c r="E114" s="46">
        <f t="shared" si="7"/>
        <v>113.48802501155089</v>
      </c>
      <c r="F114" s="46">
        <f t="shared" si="7"/>
        <v>92.201479834948017</v>
      </c>
      <c r="G114" s="46">
        <f t="shared" si="7"/>
        <v>70.914070764570482</v>
      </c>
      <c r="H114" s="46">
        <f t="shared" si="7"/>
        <v>54.750054571794223</v>
      </c>
      <c r="I114" s="46">
        <f t="shared" si="7"/>
        <v>45.409107972180678</v>
      </c>
      <c r="J114" s="46">
        <f t="shared" si="7"/>
        <v>40.452846599409661</v>
      </c>
      <c r="K114" s="46">
        <f t="shared" si="7"/>
        <v>36.567604373048553</v>
      </c>
      <c r="L114" s="46">
        <f t="shared" si="7"/>
        <v>33.722497172696237</v>
      </c>
      <c r="M114" s="46">
        <f t="shared" si="7"/>
        <v>31.537820676686238</v>
      </c>
      <c r="N114" s="46">
        <f t="shared" si="7"/>
        <v>28.353599859458789</v>
      </c>
      <c r="O114" s="46">
        <f t="shared" si="7"/>
        <v>26.003967172553079</v>
      </c>
      <c r="P114" s="46">
        <f t="shared" si="7"/>
        <v>24.160245237926446</v>
      </c>
      <c r="Q114" s="46">
        <f t="shared" si="7"/>
        <v>21.249690073067327</v>
      </c>
      <c r="R114" s="46">
        <f t="shared" si="7"/>
        <v>21.247242746791578</v>
      </c>
      <c r="S114" s="46">
        <f t="shared" si="7"/>
        <v>21.247242746791578</v>
      </c>
      <c r="T114" s="46">
        <f t="shared" si="7"/>
        <v>21.247242746791578</v>
      </c>
      <c r="U114" s="46">
        <f t="shared" si="7"/>
        <v>21.247242746791578</v>
      </c>
    </row>
    <row r="116" spans="2:21" x14ac:dyDescent="0.25">
      <c r="D116" s="46"/>
      <c r="E116" s="46"/>
      <c r="F116" s="46"/>
      <c r="G116" s="46"/>
      <c r="H116" s="46"/>
      <c r="I116" s="46"/>
    </row>
    <row r="118" spans="2:21" x14ac:dyDescent="0.25">
      <c r="D118" s="46"/>
      <c r="E118" s="46"/>
      <c r="F118" s="46"/>
      <c r="G118" s="46"/>
      <c r="H118" s="46"/>
      <c r="I118" s="46"/>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U118"/>
  <sheetViews>
    <sheetView workbookViewId="0"/>
  </sheetViews>
  <sheetFormatPr defaultRowHeight="13.2" x14ac:dyDescent="0.25"/>
  <cols>
    <col min="1" max="6" width="9.109375" style="26"/>
    <col min="7" max="7" width="9.109375" style="26" customWidth="1"/>
    <col min="8" max="8" width="10.6640625" style="26" customWidth="1"/>
    <col min="9" max="16" width="9.109375" style="26"/>
    <col min="17" max="17" width="10.5546875" style="26" bestFit="1" customWidth="1"/>
    <col min="18" max="19" width="9.5546875" style="26" bestFit="1" customWidth="1"/>
    <col min="20" max="262" width="9.109375" style="26"/>
    <col min="263" max="263" width="9.5546875" style="26" bestFit="1" customWidth="1"/>
    <col min="264" max="264" width="10.6640625" style="26" customWidth="1"/>
    <col min="265" max="518" width="9.109375" style="26"/>
    <col min="519" max="519" width="9.5546875" style="26" bestFit="1" customWidth="1"/>
    <col min="520" max="520" width="10.6640625" style="26" customWidth="1"/>
    <col min="521" max="774" width="9.109375" style="26"/>
    <col min="775" max="775" width="9.5546875" style="26" bestFit="1" customWidth="1"/>
    <col min="776" max="776" width="10.6640625" style="26" customWidth="1"/>
    <col min="777" max="1030" width="9.109375" style="26"/>
    <col min="1031" max="1031" width="9.5546875" style="26" bestFit="1" customWidth="1"/>
    <col min="1032" max="1032" width="10.6640625" style="26" customWidth="1"/>
    <col min="1033" max="1286" width="9.109375" style="26"/>
    <col min="1287" max="1287" width="9.5546875" style="26" bestFit="1" customWidth="1"/>
    <col min="1288" max="1288" width="10.6640625" style="26" customWidth="1"/>
    <col min="1289" max="1542" width="9.109375" style="26"/>
    <col min="1543" max="1543" width="9.5546875" style="26" bestFit="1" customWidth="1"/>
    <col min="1544" max="1544" width="10.6640625" style="26" customWidth="1"/>
    <col min="1545" max="1798" width="9.109375" style="26"/>
    <col min="1799" max="1799" width="9.5546875" style="26" bestFit="1" customWidth="1"/>
    <col min="1800" max="1800" width="10.6640625" style="26" customWidth="1"/>
    <col min="1801" max="2054" width="9.109375" style="26"/>
    <col min="2055" max="2055" width="9.5546875" style="26" bestFit="1" customWidth="1"/>
    <col min="2056" max="2056" width="10.6640625" style="26" customWidth="1"/>
    <col min="2057" max="2310" width="9.109375" style="26"/>
    <col min="2311" max="2311" width="9.5546875" style="26" bestFit="1" customWidth="1"/>
    <col min="2312" max="2312" width="10.6640625" style="26" customWidth="1"/>
    <col min="2313" max="2566" width="9.109375" style="26"/>
    <col min="2567" max="2567" width="9.5546875" style="26" bestFit="1" customWidth="1"/>
    <col min="2568" max="2568" width="10.6640625" style="26" customWidth="1"/>
    <col min="2569" max="2822" width="9.109375" style="26"/>
    <col min="2823" max="2823" width="9.5546875" style="26" bestFit="1" customWidth="1"/>
    <col min="2824" max="2824" width="10.6640625" style="26" customWidth="1"/>
    <col min="2825" max="3078" width="9.109375" style="26"/>
    <col min="3079" max="3079" width="9.5546875" style="26" bestFit="1" customWidth="1"/>
    <col min="3080" max="3080" width="10.6640625" style="26" customWidth="1"/>
    <col min="3081" max="3334" width="9.109375" style="26"/>
    <col min="3335" max="3335" width="9.5546875" style="26" bestFit="1" customWidth="1"/>
    <col min="3336" max="3336" width="10.6640625" style="26" customWidth="1"/>
    <col min="3337" max="3590" width="9.109375" style="26"/>
    <col min="3591" max="3591" width="9.5546875" style="26" bestFit="1" customWidth="1"/>
    <col min="3592" max="3592" width="10.6640625" style="26" customWidth="1"/>
    <col min="3593" max="3846" width="9.109375" style="26"/>
    <col min="3847" max="3847" width="9.5546875" style="26" bestFit="1" customWidth="1"/>
    <col min="3848" max="3848" width="10.6640625" style="26" customWidth="1"/>
    <col min="3849" max="4102" width="9.109375" style="26"/>
    <col min="4103" max="4103" width="9.5546875" style="26" bestFit="1" customWidth="1"/>
    <col min="4104" max="4104" width="10.6640625" style="26" customWidth="1"/>
    <col min="4105" max="4358" width="9.109375" style="26"/>
    <col min="4359" max="4359" width="9.5546875" style="26" bestFit="1" customWidth="1"/>
    <col min="4360" max="4360" width="10.6640625" style="26" customWidth="1"/>
    <col min="4361" max="4614" width="9.109375" style="26"/>
    <col min="4615" max="4615" width="9.5546875" style="26" bestFit="1" customWidth="1"/>
    <col min="4616" max="4616" width="10.6640625" style="26" customWidth="1"/>
    <col min="4617" max="4870" width="9.109375" style="26"/>
    <col min="4871" max="4871" width="9.5546875" style="26" bestFit="1" customWidth="1"/>
    <col min="4872" max="4872" width="10.6640625" style="26" customWidth="1"/>
    <col min="4873" max="5126" width="9.109375" style="26"/>
    <col min="5127" max="5127" width="9.5546875" style="26" bestFit="1" customWidth="1"/>
    <col min="5128" max="5128" width="10.6640625" style="26" customWidth="1"/>
    <col min="5129" max="5382" width="9.109375" style="26"/>
    <col min="5383" max="5383" width="9.5546875" style="26" bestFit="1" customWidth="1"/>
    <col min="5384" max="5384" width="10.6640625" style="26" customWidth="1"/>
    <col min="5385" max="5638" width="9.109375" style="26"/>
    <col min="5639" max="5639" width="9.5546875" style="26" bestFit="1" customWidth="1"/>
    <col min="5640" max="5640" width="10.6640625" style="26" customWidth="1"/>
    <col min="5641" max="5894" width="9.109375" style="26"/>
    <col min="5895" max="5895" width="9.5546875" style="26" bestFit="1" customWidth="1"/>
    <col min="5896" max="5896" width="10.6640625" style="26" customWidth="1"/>
    <col min="5897" max="6150" width="9.109375" style="26"/>
    <col min="6151" max="6151" width="9.5546875" style="26" bestFit="1" customWidth="1"/>
    <col min="6152" max="6152" width="10.6640625" style="26" customWidth="1"/>
    <col min="6153" max="6406" width="9.109375" style="26"/>
    <col min="6407" max="6407" width="9.5546875" style="26" bestFit="1" customWidth="1"/>
    <col min="6408" max="6408" width="10.6640625" style="26" customWidth="1"/>
    <col min="6409" max="6662" width="9.109375" style="26"/>
    <col min="6663" max="6663" width="9.5546875" style="26" bestFit="1" customWidth="1"/>
    <col min="6664" max="6664" width="10.6640625" style="26" customWidth="1"/>
    <col min="6665" max="6918" width="9.109375" style="26"/>
    <col min="6919" max="6919" width="9.5546875" style="26" bestFit="1" customWidth="1"/>
    <col min="6920" max="6920" width="10.6640625" style="26" customWidth="1"/>
    <col min="6921" max="7174" width="9.109375" style="26"/>
    <col min="7175" max="7175" width="9.5546875" style="26" bestFit="1" customWidth="1"/>
    <col min="7176" max="7176" width="10.6640625" style="26" customWidth="1"/>
    <col min="7177" max="7430" width="9.109375" style="26"/>
    <col min="7431" max="7431" width="9.5546875" style="26" bestFit="1" customWidth="1"/>
    <col min="7432" max="7432" width="10.6640625" style="26" customWidth="1"/>
    <col min="7433" max="7686" width="9.109375" style="26"/>
    <col min="7687" max="7687" width="9.5546875" style="26" bestFit="1" customWidth="1"/>
    <col min="7688" max="7688" width="10.6640625" style="26" customWidth="1"/>
    <col min="7689" max="7942" width="9.109375" style="26"/>
    <col min="7943" max="7943" width="9.5546875" style="26" bestFit="1" customWidth="1"/>
    <col min="7944" max="7944" width="10.6640625" style="26" customWidth="1"/>
    <col min="7945" max="8198" width="9.109375" style="26"/>
    <col min="8199" max="8199" width="9.5546875" style="26" bestFit="1" customWidth="1"/>
    <col min="8200" max="8200" width="10.6640625" style="26" customWidth="1"/>
    <col min="8201" max="8454" width="9.109375" style="26"/>
    <col min="8455" max="8455" width="9.5546875" style="26" bestFit="1" customWidth="1"/>
    <col min="8456" max="8456" width="10.6640625" style="26" customWidth="1"/>
    <col min="8457" max="8710" width="9.109375" style="26"/>
    <col min="8711" max="8711" width="9.5546875" style="26" bestFit="1" customWidth="1"/>
    <col min="8712" max="8712" width="10.6640625" style="26" customWidth="1"/>
    <col min="8713" max="8966" width="9.109375" style="26"/>
    <col min="8967" max="8967" width="9.5546875" style="26" bestFit="1" customWidth="1"/>
    <col min="8968" max="8968" width="10.6640625" style="26" customWidth="1"/>
    <col min="8969" max="9222" width="9.109375" style="26"/>
    <col min="9223" max="9223" width="9.5546875" style="26" bestFit="1" customWidth="1"/>
    <col min="9224" max="9224" width="10.6640625" style="26" customWidth="1"/>
    <col min="9225" max="9478" width="9.109375" style="26"/>
    <col min="9479" max="9479" width="9.5546875" style="26" bestFit="1" customWidth="1"/>
    <col min="9480" max="9480" width="10.6640625" style="26" customWidth="1"/>
    <col min="9481" max="9734" width="9.109375" style="26"/>
    <col min="9735" max="9735" width="9.5546875" style="26" bestFit="1" customWidth="1"/>
    <col min="9736" max="9736" width="10.6640625" style="26" customWidth="1"/>
    <col min="9737" max="9990" width="9.109375" style="26"/>
    <col min="9991" max="9991" width="9.5546875" style="26" bestFit="1" customWidth="1"/>
    <col min="9992" max="9992" width="10.6640625" style="26" customWidth="1"/>
    <col min="9993" max="10246" width="9.109375" style="26"/>
    <col min="10247" max="10247" width="9.5546875" style="26" bestFit="1" customWidth="1"/>
    <col min="10248" max="10248" width="10.6640625" style="26" customWidth="1"/>
    <col min="10249" max="10502" width="9.109375" style="26"/>
    <col min="10503" max="10503" width="9.5546875" style="26" bestFit="1" customWidth="1"/>
    <col min="10504" max="10504" width="10.6640625" style="26" customWidth="1"/>
    <col min="10505" max="10758" width="9.109375" style="26"/>
    <col min="10759" max="10759" width="9.5546875" style="26" bestFit="1" customWidth="1"/>
    <col min="10760" max="10760" width="10.6640625" style="26" customWidth="1"/>
    <col min="10761" max="11014" width="9.109375" style="26"/>
    <col min="11015" max="11015" width="9.5546875" style="26" bestFit="1" customWidth="1"/>
    <col min="11016" max="11016" width="10.6640625" style="26" customWidth="1"/>
    <col min="11017" max="11270" width="9.109375" style="26"/>
    <col min="11271" max="11271" width="9.5546875" style="26" bestFit="1" customWidth="1"/>
    <col min="11272" max="11272" width="10.6640625" style="26" customWidth="1"/>
    <col min="11273" max="11526" width="9.109375" style="26"/>
    <col min="11527" max="11527" width="9.5546875" style="26" bestFit="1" customWidth="1"/>
    <col min="11528" max="11528" width="10.6640625" style="26" customWidth="1"/>
    <col min="11529" max="11782" width="9.109375" style="26"/>
    <col min="11783" max="11783" width="9.5546875" style="26" bestFit="1" customWidth="1"/>
    <col min="11784" max="11784" width="10.6640625" style="26" customWidth="1"/>
    <col min="11785" max="12038" width="9.109375" style="26"/>
    <col min="12039" max="12039" width="9.5546875" style="26" bestFit="1" customWidth="1"/>
    <col min="12040" max="12040" width="10.6640625" style="26" customWidth="1"/>
    <col min="12041" max="12294" width="9.109375" style="26"/>
    <col min="12295" max="12295" width="9.5546875" style="26" bestFit="1" customWidth="1"/>
    <col min="12296" max="12296" width="10.6640625" style="26" customWidth="1"/>
    <col min="12297" max="12550" width="9.109375" style="26"/>
    <col min="12551" max="12551" width="9.5546875" style="26" bestFit="1" customWidth="1"/>
    <col min="12552" max="12552" width="10.6640625" style="26" customWidth="1"/>
    <col min="12553" max="12806" width="9.109375" style="26"/>
    <col min="12807" max="12807" width="9.5546875" style="26" bestFit="1" customWidth="1"/>
    <col min="12808" max="12808" width="10.6640625" style="26" customWidth="1"/>
    <col min="12809" max="13062" width="9.109375" style="26"/>
    <col min="13063" max="13063" width="9.5546875" style="26" bestFit="1" customWidth="1"/>
    <col min="13064" max="13064" width="10.6640625" style="26" customWidth="1"/>
    <col min="13065" max="13318" width="9.109375" style="26"/>
    <col min="13319" max="13319" width="9.5546875" style="26" bestFit="1" customWidth="1"/>
    <col min="13320" max="13320" width="10.6640625" style="26" customWidth="1"/>
    <col min="13321" max="13574" width="9.109375" style="26"/>
    <col min="13575" max="13575" width="9.5546875" style="26" bestFit="1" customWidth="1"/>
    <col min="13576" max="13576" width="10.6640625" style="26" customWidth="1"/>
    <col min="13577" max="13830" width="9.109375" style="26"/>
    <col min="13831" max="13831" width="9.5546875" style="26" bestFit="1" customWidth="1"/>
    <col min="13832" max="13832" width="10.6640625" style="26" customWidth="1"/>
    <col min="13833" max="14086" width="9.109375" style="26"/>
    <col min="14087" max="14087" width="9.5546875" style="26" bestFit="1" customWidth="1"/>
    <col min="14088" max="14088" width="10.6640625" style="26" customWidth="1"/>
    <col min="14089" max="14342" width="9.109375" style="26"/>
    <col min="14343" max="14343" width="9.5546875" style="26" bestFit="1" customWidth="1"/>
    <col min="14344" max="14344" width="10.6640625" style="26" customWidth="1"/>
    <col min="14345" max="14598" width="9.109375" style="26"/>
    <col min="14599" max="14599" width="9.5546875" style="26" bestFit="1" customWidth="1"/>
    <col min="14600" max="14600" width="10.6640625" style="26" customWidth="1"/>
    <col min="14601" max="14854" width="9.109375" style="26"/>
    <col min="14855" max="14855" width="9.5546875" style="26" bestFit="1" customWidth="1"/>
    <col min="14856" max="14856" width="10.6640625" style="26" customWidth="1"/>
    <col min="14857" max="15110" width="9.109375" style="26"/>
    <col min="15111" max="15111" width="9.5546875" style="26" bestFit="1" customWidth="1"/>
    <col min="15112" max="15112" width="10.6640625" style="26" customWidth="1"/>
    <col min="15113" max="15366" width="9.109375" style="26"/>
    <col min="15367" max="15367" width="9.5546875" style="26" bestFit="1" customWidth="1"/>
    <col min="15368" max="15368" width="10.6640625" style="26" customWidth="1"/>
    <col min="15369" max="15622" width="9.109375" style="26"/>
    <col min="15623" max="15623" width="9.5546875" style="26" bestFit="1" customWidth="1"/>
    <col min="15624" max="15624" width="10.6640625" style="26" customWidth="1"/>
    <col min="15625" max="15878" width="9.109375" style="26"/>
    <col min="15879" max="15879" width="9.5546875" style="26" bestFit="1" customWidth="1"/>
    <col min="15880" max="15880" width="10.6640625" style="26" customWidth="1"/>
    <col min="15881" max="16134" width="9.109375" style="26"/>
    <col min="16135" max="16135" width="9.5546875" style="26" bestFit="1" customWidth="1"/>
    <col min="16136" max="16136" width="10.6640625" style="26" customWidth="1"/>
    <col min="16137" max="16384" width="9.109375" style="26"/>
  </cols>
  <sheetData>
    <row r="1" spans="1:15" ht="13.8" thickBot="1" x14ac:dyDescent="0.3">
      <c r="A1" s="84" t="s">
        <v>270</v>
      </c>
      <c r="B1" s="275" t="s">
        <v>402</v>
      </c>
      <c r="C1" s="33">
        <f>Drives!BA7</f>
        <v>38490.017945975058</v>
      </c>
      <c r="D1" s="28" t="s">
        <v>7</v>
      </c>
      <c r="E1" s="300">
        <v>1.5</v>
      </c>
      <c r="F1" s="301">
        <f>MAX(0.1,E1+100/C1)</f>
        <v>1.5025980762113533</v>
      </c>
      <c r="G1" s="36" t="s">
        <v>1</v>
      </c>
      <c r="H1" s="29">
        <f>IF(J1=0,0,H4/J1)</f>
        <v>0</v>
      </c>
      <c r="I1" s="54" t="s">
        <v>94</v>
      </c>
      <c r="J1" s="34">
        <f>Drives!Z7</f>
        <v>0</v>
      </c>
      <c r="K1" s="26" t="s">
        <v>84</v>
      </c>
      <c r="N1" s="254">
        <v>0.98</v>
      </c>
      <c r="O1" s="26" t="s">
        <v>176</v>
      </c>
    </row>
    <row r="2" spans="1:15" x14ac:dyDescent="0.25">
      <c r="A2" s="272" t="s">
        <v>88</v>
      </c>
      <c r="B2" s="276">
        <v>7</v>
      </c>
      <c r="D2" s="26">
        <f>C4+1</f>
        <v>3</v>
      </c>
      <c r="E2" s="27">
        <f>F1-C3</f>
        <v>0.50259807621135333</v>
      </c>
      <c r="J2" s="29">
        <f>IF(J1&gt;=0.6, 0.7+(J1-0.6)*0.75, IF(J1&gt;=0.2, 0.3+(J1-0.2)*1, J1*1.5))</f>
        <v>0</v>
      </c>
      <c r="K2" s="26" t="s">
        <v>60</v>
      </c>
    </row>
    <row r="3" spans="1:15" ht="13.8" thickBot="1" x14ac:dyDescent="0.3">
      <c r="A3" s="43" t="s">
        <v>89</v>
      </c>
      <c r="C3" s="41">
        <f>HLOOKUP($F$1,$D$62:$U$113,(B3+1))</f>
        <v>1</v>
      </c>
      <c r="D3" s="41">
        <f>HLOOKUP($D$2,$D$61:$U$113,(B3+2))</f>
        <v>2</v>
      </c>
      <c r="E3" s="26">
        <f>D3-C3</f>
        <v>1</v>
      </c>
      <c r="F3" s="26">
        <f>IF(E3=0,1,E2/E3)</f>
        <v>0.50259807621135333</v>
      </c>
      <c r="G3" s="27">
        <f>C3+(E3*F3)</f>
        <v>1.5025980762113533</v>
      </c>
      <c r="J3" s="31"/>
    </row>
    <row r="4" spans="1:15" ht="13.8" thickBot="1" x14ac:dyDescent="0.3">
      <c r="A4" s="43" t="s">
        <v>90</v>
      </c>
      <c r="B4" s="26">
        <v>1</v>
      </c>
      <c r="C4" s="302">
        <f t="shared" ref="C4:C53" si="0">HLOOKUP($F$1,$D$62:$U$113,(B4+1))</f>
        <v>2</v>
      </c>
      <c r="D4" s="302">
        <f t="shared" ref="D4:D53" si="1">HLOOKUP($D$2,$D$61:$U$113,(B4+2))</f>
        <v>3</v>
      </c>
      <c r="G4" s="27">
        <v>100</v>
      </c>
      <c r="H4" s="34">
        <f>Drives!AR7</f>
        <v>0</v>
      </c>
      <c r="I4" s="26" t="s">
        <v>53</v>
      </c>
    </row>
    <row r="5" spans="1:15" x14ac:dyDescent="0.25">
      <c r="A5" s="31"/>
      <c r="B5" s="26">
        <v>2</v>
      </c>
      <c r="C5" s="52">
        <f t="shared" si="0"/>
        <v>0.12416560747379798</v>
      </c>
      <c r="D5" s="52">
        <f t="shared" si="1"/>
        <v>0.19164678959143519</v>
      </c>
      <c r="E5" s="48">
        <f t="shared" ref="E5:E53" si="2">D5-C5</f>
        <v>6.7481182117637206E-2</v>
      </c>
      <c r="F5" s="48">
        <f t="shared" ref="F5:F53" si="3">E5*$F$3</f>
        <v>3.3915912312792437E-2</v>
      </c>
      <c r="G5" s="48">
        <f t="shared" ref="G5:G53" si="4">C5+F5</f>
        <v>0.15808151978659041</v>
      </c>
      <c r="H5" s="30">
        <f>J$2*G5*$H$1/100</f>
        <v>0</v>
      </c>
    </row>
    <row r="6" spans="1:15" x14ac:dyDescent="0.25">
      <c r="A6" s="270" t="s">
        <v>403</v>
      </c>
      <c r="B6" s="26">
        <v>3</v>
      </c>
      <c r="C6" s="52">
        <f t="shared" si="0"/>
        <v>4.3857615521600959</v>
      </c>
      <c r="D6" s="52">
        <f t="shared" si="1"/>
        <v>4.8916763402676038</v>
      </c>
      <c r="E6" s="48">
        <f t="shared" si="2"/>
        <v>0.5059147881075079</v>
      </c>
      <c r="F6" s="48">
        <f t="shared" si="3"/>
        <v>0.25427179922970794</v>
      </c>
      <c r="G6" s="48">
        <f t="shared" si="4"/>
        <v>4.6400333513898042</v>
      </c>
      <c r="H6" s="30">
        <f t="shared" ref="H6:H53" si="5">J$2*G6*$H$1/100</f>
        <v>0</v>
      </c>
    </row>
    <row r="7" spans="1:15" x14ac:dyDescent="0.25">
      <c r="A7" s="270" t="s">
        <v>92</v>
      </c>
      <c r="B7" s="26">
        <v>4</v>
      </c>
      <c r="C7" s="52">
        <f t="shared" si="0"/>
        <v>0.11237654569855723</v>
      </c>
      <c r="D7" s="52">
        <f t="shared" si="1"/>
        <v>0.1270693443534559</v>
      </c>
      <c r="E7" s="48">
        <f t="shared" si="2"/>
        <v>1.469279865489867E-2</v>
      </c>
      <c r="F7" s="48">
        <f t="shared" si="3"/>
        <v>7.3845723381128318E-3</v>
      </c>
      <c r="G7" s="48">
        <f t="shared" si="4"/>
        <v>0.11976111803667007</v>
      </c>
      <c r="H7" s="30">
        <f t="shared" si="5"/>
        <v>0</v>
      </c>
    </row>
    <row r="8" spans="1:15" x14ac:dyDescent="0.25">
      <c r="A8" s="50"/>
      <c r="B8" s="26">
        <v>5</v>
      </c>
      <c r="C8" s="52">
        <f t="shared" si="0"/>
        <v>73.247221838386295</v>
      </c>
      <c r="D8" s="52">
        <f t="shared" si="1"/>
        <v>60.831459052554194</v>
      </c>
      <c r="E8" s="48">
        <f t="shared" si="2"/>
        <v>-12.415762785832101</v>
      </c>
      <c r="F8" s="48">
        <f t="shared" si="3"/>
        <v>-6.2401384908557267</v>
      </c>
      <c r="G8" s="48">
        <f t="shared" si="4"/>
        <v>67.007083347530568</v>
      </c>
      <c r="H8" s="30">
        <f t="shared" si="5"/>
        <v>0</v>
      </c>
    </row>
    <row r="9" spans="1:15" x14ac:dyDescent="0.25">
      <c r="A9" s="50"/>
      <c r="B9" s="26">
        <v>6</v>
      </c>
      <c r="C9" s="52">
        <f t="shared" si="0"/>
        <v>7.0102641631974985E-3</v>
      </c>
      <c r="D9" s="52">
        <f t="shared" si="1"/>
        <v>1.1862351899176933E-2</v>
      </c>
      <c r="E9" s="48">
        <f t="shared" si="2"/>
        <v>4.8520877359794342E-3</v>
      </c>
      <c r="F9" s="48">
        <f t="shared" si="3"/>
        <v>2.4386499617119646E-3</v>
      </c>
      <c r="G9" s="48">
        <f t="shared" si="4"/>
        <v>9.4489141249094639E-3</v>
      </c>
      <c r="H9" s="30">
        <f t="shared" si="5"/>
        <v>0</v>
      </c>
    </row>
    <row r="10" spans="1:15" x14ac:dyDescent="0.25">
      <c r="B10" s="26">
        <v>7</v>
      </c>
      <c r="C10" s="52">
        <f t="shared" si="0"/>
        <v>52.471101352240538</v>
      </c>
      <c r="D10" s="52">
        <f t="shared" si="1"/>
        <v>34.473926081721721</v>
      </c>
      <c r="E10" s="48">
        <f t="shared" si="2"/>
        <v>-17.997175270518817</v>
      </c>
      <c r="F10" s="48">
        <f t="shared" si="3"/>
        <v>-9.0453456682012998</v>
      </c>
      <c r="G10" s="48">
        <f t="shared" si="4"/>
        <v>43.425755684039238</v>
      </c>
      <c r="H10" s="30">
        <f t="shared" si="5"/>
        <v>0</v>
      </c>
    </row>
    <row r="11" spans="1:15" x14ac:dyDescent="0.25">
      <c r="B11" s="26">
        <v>8</v>
      </c>
      <c r="C11" s="52">
        <f t="shared" si="0"/>
        <v>5.7040082585237739E-2</v>
      </c>
      <c r="D11" s="52">
        <f t="shared" si="1"/>
        <v>1.9116049168177565E-2</v>
      </c>
      <c r="E11" s="48">
        <f t="shared" si="2"/>
        <v>-3.7924033417060174E-2</v>
      </c>
      <c r="F11" s="48">
        <f t="shared" si="3"/>
        <v>-1.9060546237589519E-2</v>
      </c>
      <c r="G11" s="48">
        <f t="shared" si="4"/>
        <v>3.7979536347648224E-2</v>
      </c>
      <c r="H11" s="30">
        <f t="shared" si="5"/>
        <v>0</v>
      </c>
    </row>
    <row r="12" spans="1:15" x14ac:dyDescent="0.25">
      <c r="B12" s="26">
        <v>9</v>
      </c>
      <c r="C12" s="52">
        <f t="shared" si="0"/>
        <v>0.66156600737101889</v>
      </c>
      <c r="D12" s="52">
        <f t="shared" si="1"/>
        <v>0.60368769264829547</v>
      </c>
      <c r="E12" s="48">
        <f t="shared" si="2"/>
        <v>-5.7878314722723423E-2</v>
      </c>
      <c r="F12" s="48">
        <f t="shared" si="3"/>
        <v>-2.9089529633996039E-2</v>
      </c>
      <c r="G12" s="48">
        <f t="shared" si="4"/>
        <v>0.63247647773702287</v>
      </c>
      <c r="H12" s="30">
        <f t="shared" si="5"/>
        <v>0</v>
      </c>
    </row>
    <row r="13" spans="1:15" x14ac:dyDescent="0.25">
      <c r="B13" s="26">
        <v>10</v>
      </c>
      <c r="C13" s="52">
        <f t="shared" si="0"/>
        <v>3.9171017790739594E-2</v>
      </c>
      <c r="D13" s="52">
        <f t="shared" si="1"/>
        <v>3.1896110289054799E-2</v>
      </c>
      <c r="E13" s="48">
        <f t="shared" si="2"/>
        <v>-7.274907501684795E-3</v>
      </c>
      <c r="F13" s="48">
        <f t="shared" si="3"/>
        <v>-3.6563545149623207E-3</v>
      </c>
      <c r="G13" s="48">
        <f t="shared" si="4"/>
        <v>3.5514663275777271E-2</v>
      </c>
      <c r="H13" s="30">
        <f t="shared" si="5"/>
        <v>0</v>
      </c>
    </row>
    <row r="14" spans="1:15" x14ac:dyDescent="0.25">
      <c r="B14" s="26">
        <v>11</v>
      </c>
      <c r="C14" s="52">
        <f t="shared" si="0"/>
        <v>15.583787301158949</v>
      </c>
      <c r="D14" s="52">
        <f t="shared" si="1"/>
        <v>6.5636008603412694</v>
      </c>
      <c r="E14" s="48">
        <f t="shared" si="2"/>
        <v>-9.02018644081768</v>
      </c>
      <c r="F14" s="48">
        <f t="shared" si="3"/>
        <v>-4.5335283522227003</v>
      </c>
      <c r="G14" s="48">
        <f t="shared" si="4"/>
        <v>11.05025894893625</v>
      </c>
      <c r="H14" s="30">
        <f t="shared" si="5"/>
        <v>0</v>
      </c>
    </row>
    <row r="15" spans="1:15" x14ac:dyDescent="0.25">
      <c r="B15" s="26">
        <v>12</v>
      </c>
      <c r="C15" s="52">
        <f t="shared" si="0"/>
        <v>4.5954157397374695E-3</v>
      </c>
      <c r="D15" s="52">
        <f t="shared" si="1"/>
        <v>5.329225146697902E-3</v>
      </c>
      <c r="E15" s="48">
        <f t="shared" si="2"/>
        <v>7.3380940696043256E-4</v>
      </c>
      <c r="F15" s="48">
        <f t="shared" si="3"/>
        <v>3.6881119624410747E-4</v>
      </c>
      <c r="G15" s="48">
        <f t="shared" si="4"/>
        <v>4.9642269359815774E-3</v>
      </c>
      <c r="H15" s="30">
        <f t="shared" si="5"/>
        <v>0</v>
      </c>
    </row>
    <row r="16" spans="1:15" x14ac:dyDescent="0.25">
      <c r="B16" s="26">
        <v>13</v>
      </c>
      <c r="C16" s="52">
        <f t="shared" si="0"/>
        <v>6.0811074483745449</v>
      </c>
      <c r="D16" s="52">
        <f t="shared" si="1"/>
        <v>6.4203508662030933</v>
      </c>
      <c r="E16" s="48">
        <f t="shared" si="2"/>
        <v>0.33924341782854839</v>
      </c>
      <c r="F16" s="48">
        <f t="shared" si="3"/>
        <v>0.17050308916799276</v>
      </c>
      <c r="G16" s="48">
        <f t="shared" si="4"/>
        <v>6.2516105375425379</v>
      </c>
      <c r="H16" s="30">
        <f t="shared" si="5"/>
        <v>0</v>
      </c>
    </row>
    <row r="17" spans="2:8" x14ac:dyDescent="0.25">
      <c r="B17" s="26">
        <v>14</v>
      </c>
      <c r="C17" s="52">
        <f t="shared" si="0"/>
        <v>4.0150680983375708E-2</v>
      </c>
      <c r="D17" s="52">
        <f t="shared" si="1"/>
        <v>1.1364022598705132E-2</v>
      </c>
      <c r="E17" s="48">
        <f t="shared" si="2"/>
        <v>-2.8786658384670576E-2</v>
      </c>
      <c r="F17" s="48">
        <f t="shared" si="3"/>
        <v>-1.4468119124688856E-2</v>
      </c>
      <c r="G17" s="48">
        <f t="shared" si="4"/>
        <v>2.568256185868685E-2</v>
      </c>
      <c r="H17" s="30">
        <f t="shared" si="5"/>
        <v>0</v>
      </c>
    </row>
    <row r="18" spans="2:8" x14ac:dyDescent="0.25">
      <c r="B18" s="26">
        <v>15</v>
      </c>
      <c r="C18" s="52">
        <f t="shared" si="0"/>
        <v>0.45935010470309795</v>
      </c>
      <c r="D18" s="52">
        <f t="shared" si="1"/>
        <v>0.33979479464125767</v>
      </c>
      <c r="E18" s="48">
        <f t="shared" si="2"/>
        <v>-0.11955531006184028</v>
      </c>
      <c r="F18" s="48">
        <f t="shared" si="3"/>
        <v>-6.0088268837932779E-2</v>
      </c>
      <c r="G18" s="48">
        <f t="shared" si="4"/>
        <v>0.39926183586516517</v>
      </c>
      <c r="H18" s="30">
        <f t="shared" si="5"/>
        <v>0</v>
      </c>
    </row>
    <row r="19" spans="2:8" x14ac:dyDescent="0.25">
      <c r="B19" s="26">
        <v>16</v>
      </c>
      <c r="C19" s="52">
        <f t="shared" si="0"/>
        <v>2.9549060045343564E-2</v>
      </c>
      <c r="D19" s="52">
        <f t="shared" si="1"/>
        <v>1.9149260351853523E-2</v>
      </c>
      <c r="E19" s="48">
        <f t="shared" si="2"/>
        <v>-1.0399799693490041E-2</v>
      </c>
      <c r="F19" s="48">
        <f t="shared" si="3"/>
        <v>-5.2269193189315166E-3</v>
      </c>
      <c r="G19" s="48">
        <f t="shared" si="4"/>
        <v>2.4322140726412048E-2</v>
      </c>
      <c r="H19" s="30">
        <f t="shared" si="5"/>
        <v>0</v>
      </c>
    </row>
    <row r="20" spans="2:8" x14ac:dyDescent="0.25">
      <c r="B20" s="26">
        <v>17</v>
      </c>
      <c r="C20" s="52">
        <f t="shared" si="0"/>
        <v>6.2578007441416821</v>
      </c>
      <c r="D20" s="52">
        <f t="shared" si="1"/>
        <v>3.651615692351549</v>
      </c>
      <c r="E20" s="48">
        <f t="shared" si="2"/>
        <v>-2.606185051790133</v>
      </c>
      <c r="F20" s="48">
        <f t="shared" si="3"/>
        <v>-1.3098635932805072</v>
      </c>
      <c r="G20" s="48">
        <f t="shared" si="4"/>
        <v>4.9479371508611747</v>
      </c>
      <c r="H20" s="30">
        <f t="shared" si="5"/>
        <v>0</v>
      </c>
    </row>
    <row r="21" spans="2:8" x14ac:dyDescent="0.25">
      <c r="B21" s="26">
        <v>18</v>
      </c>
      <c r="C21" s="52">
        <f t="shared" si="0"/>
        <v>3.7080452251308581E-3</v>
      </c>
      <c r="D21" s="52">
        <f t="shared" si="1"/>
        <v>4.1891794258732719E-3</v>
      </c>
      <c r="E21" s="48">
        <f t="shared" si="2"/>
        <v>4.8113420074241383E-4</v>
      </c>
      <c r="F21" s="48">
        <f t="shared" si="3"/>
        <v>2.4181712369262428E-4</v>
      </c>
      <c r="G21" s="48">
        <f t="shared" si="4"/>
        <v>3.9498623488234824E-3</v>
      </c>
      <c r="H21" s="30">
        <f t="shared" si="5"/>
        <v>0</v>
      </c>
    </row>
    <row r="22" spans="2:8" x14ac:dyDescent="0.25">
      <c r="B22" s="26">
        <v>19</v>
      </c>
      <c r="C22" s="52">
        <f t="shared" si="0"/>
        <v>4.4923444139523241</v>
      </c>
      <c r="D22" s="52">
        <f t="shared" si="1"/>
        <v>2.461818140179882</v>
      </c>
      <c r="E22" s="48">
        <f t="shared" si="2"/>
        <v>-2.0305262737724421</v>
      </c>
      <c r="F22" s="48">
        <f t="shared" si="3"/>
        <v>-1.0205385988946372</v>
      </c>
      <c r="G22" s="48">
        <f t="shared" si="4"/>
        <v>3.4718058150576869</v>
      </c>
      <c r="H22" s="30">
        <f t="shared" si="5"/>
        <v>0</v>
      </c>
    </row>
    <row r="23" spans="2:8" x14ac:dyDescent="0.25">
      <c r="B23" s="26">
        <v>20</v>
      </c>
      <c r="C23" s="52">
        <f t="shared" si="0"/>
        <v>3.603503131369204E-2</v>
      </c>
      <c r="D23" s="52">
        <f t="shared" si="1"/>
        <v>1.3414457398225953E-2</v>
      </c>
      <c r="E23" s="48">
        <f t="shared" si="2"/>
        <v>-2.2620573915466086E-2</v>
      </c>
      <c r="F23" s="48">
        <f t="shared" si="3"/>
        <v>-1.1369056932709976E-2</v>
      </c>
      <c r="G23" s="48">
        <f t="shared" si="4"/>
        <v>2.4665974380982066E-2</v>
      </c>
      <c r="H23" s="30">
        <f t="shared" si="5"/>
        <v>0</v>
      </c>
    </row>
    <row r="24" spans="2:8" x14ac:dyDescent="0.25">
      <c r="B24" s="26">
        <v>21</v>
      </c>
      <c r="C24" s="52">
        <f t="shared" si="0"/>
        <v>0.28848587809075404</v>
      </c>
      <c r="D24" s="52">
        <f t="shared" si="1"/>
        <v>0.2327624797312611</v>
      </c>
      <c r="E24" s="48">
        <f t="shared" si="2"/>
        <v>-5.5723398359492943E-2</v>
      </c>
      <c r="F24" s="48">
        <f t="shared" si="3"/>
        <v>-2.8006472815440036E-2</v>
      </c>
      <c r="G24" s="48">
        <f t="shared" si="4"/>
        <v>0.26047940527531399</v>
      </c>
      <c r="H24" s="30">
        <f t="shared" si="5"/>
        <v>0</v>
      </c>
    </row>
    <row r="25" spans="2:8" x14ac:dyDescent="0.25">
      <c r="B25" s="26">
        <v>22</v>
      </c>
      <c r="C25" s="52">
        <f t="shared" si="0"/>
        <v>3.2940823141321553E-2</v>
      </c>
      <c r="D25" s="52">
        <f t="shared" si="1"/>
        <v>1.4397088226243407E-2</v>
      </c>
      <c r="E25" s="48">
        <f t="shared" si="2"/>
        <v>-1.8543734915078144E-2</v>
      </c>
      <c r="F25" s="48">
        <f t="shared" si="3"/>
        <v>-9.3200454940915792E-3</v>
      </c>
      <c r="G25" s="48">
        <f t="shared" si="4"/>
        <v>2.3620777647229974E-2</v>
      </c>
      <c r="H25" s="30">
        <f t="shared" si="5"/>
        <v>0</v>
      </c>
    </row>
    <row r="26" spans="2:8" x14ac:dyDescent="0.25">
      <c r="B26" s="26">
        <v>23</v>
      </c>
      <c r="C26" s="52">
        <f t="shared" si="0"/>
        <v>2.8173069900787024</v>
      </c>
      <c r="D26" s="52">
        <f t="shared" si="1"/>
        <v>2.0670952688936821</v>
      </c>
      <c r="E26" s="48">
        <f t="shared" si="2"/>
        <v>-0.75021172118502033</v>
      </c>
      <c r="F26" s="48">
        <f t="shared" si="3"/>
        <v>-0.37705496781879938</v>
      </c>
      <c r="G26" s="48">
        <f t="shared" si="4"/>
        <v>2.4402520222599029</v>
      </c>
      <c r="H26" s="30">
        <f t="shared" si="5"/>
        <v>0</v>
      </c>
    </row>
    <row r="27" spans="2:8" x14ac:dyDescent="0.25">
      <c r="B27" s="26">
        <v>24</v>
      </c>
      <c r="C27" s="52">
        <f t="shared" si="0"/>
        <v>2.4869442257516557E-3</v>
      </c>
      <c r="D27" s="52">
        <f t="shared" si="1"/>
        <v>3.7823320015961076E-3</v>
      </c>
      <c r="E27" s="48">
        <f t="shared" si="2"/>
        <v>1.2953877758444519E-3</v>
      </c>
      <c r="F27" s="48">
        <f t="shared" si="3"/>
        <v>6.5105940408712536E-4</v>
      </c>
      <c r="G27" s="48">
        <f t="shared" si="4"/>
        <v>3.1380036298387813E-3</v>
      </c>
      <c r="H27" s="30">
        <f t="shared" si="5"/>
        <v>0</v>
      </c>
    </row>
    <row r="28" spans="2:8" x14ac:dyDescent="0.25">
      <c r="B28" s="26">
        <v>25</v>
      </c>
      <c r="C28" s="52">
        <f t="shared" si="0"/>
        <v>2.4769082641614584</v>
      </c>
      <c r="D28" s="52">
        <f t="shared" si="1"/>
        <v>1.4065816239828657</v>
      </c>
      <c r="E28" s="48">
        <f t="shared" si="2"/>
        <v>-1.0703266401785927</v>
      </c>
      <c r="F28" s="48">
        <f t="shared" si="3"/>
        <v>-0.53794411027152211</v>
      </c>
      <c r="G28" s="48">
        <f t="shared" si="4"/>
        <v>1.9389641538899363</v>
      </c>
      <c r="H28" s="30">
        <f t="shared" si="5"/>
        <v>0</v>
      </c>
    </row>
    <row r="29" spans="2:8" x14ac:dyDescent="0.25">
      <c r="B29" s="26">
        <v>26</v>
      </c>
      <c r="C29" s="52">
        <f t="shared" si="0"/>
        <v>2.6569838221547654E-2</v>
      </c>
      <c r="D29" s="52">
        <f t="shared" si="1"/>
        <v>1.7180710354120391E-2</v>
      </c>
      <c r="E29" s="48">
        <f t="shared" si="2"/>
        <v>-9.3891278674272625E-3</v>
      </c>
      <c r="F29" s="48">
        <f t="shared" si="3"/>
        <v>-4.7189576034713486E-3</v>
      </c>
      <c r="G29" s="48">
        <f t="shared" si="4"/>
        <v>2.1850880618076305E-2</v>
      </c>
      <c r="H29" s="30">
        <f t="shared" si="5"/>
        <v>0</v>
      </c>
    </row>
    <row r="30" spans="2:8" x14ac:dyDescent="0.25">
      <c r="B30" s="26">
        <v>27</v>
      </c>
      <c r="C30" s="52">
        <f t="shared" si="0"/>
        <v>0.16073741316951387</v>
      </c>
      <c r="D30" s="52">
        <f t="shared" si="1"/>
        <v>0.17380962651022741</v>
      </c>
      <c r="E30" s="48">
        <f t="shared" si="2"/>
        <v>1.307221334071354E-2</v>
      </c>
      <c r="F30" s="48">
        <f t="shared" si="3"/>
        <v>6.5700692768670133E-3</v>
      </c>
      <c r="G30" s="48">
        <f t="shared" si="4"/>
        <v>0.16730748244638088</v>
      </c>
      <c r="H30" s="30">
        <f t="shared" si="5"/>
        <v>0</v>
      </c>
    </row>
    <row r="31" spans="2:8" x14ac:dyDescent="0.25">
      <c r="B31" s="26">
        <v>28</v>
      </c>
      <c r="C31" s="52">
        <f t="shared" si="0"/>
        <v>2.8971418661601897E-2</v>
      </c>
      <c r="D31" s="52">
        <f t="shared" si="1"/>
        <v>1.1872541264805246E-2</v>
      </c>
      <c r="E31" s="48">
        <f t="shared" si="2"/>
        <v>-1.709887739679665E-2</v>
      </c>
      <c r="F31" s="48">
        <f t="shared" si="3"/>
        <v>-8.5938628850037897E-3</v>
      </c>
      <c r="G31" s="48">
        <f t="shared" si="4"/>
        <v>2.0377555776598107E-2</v>
      </c>
      <c r="H31" s="30">
        <f t="shared" si="5"/>
        <v>0</v>
      </c>
    </row>
    <row r="32" spans="2:8" x14ac:dyDescent="0.25">
      <c r="B32" s="26">
        <v>29</v>
      </c>
      <c r="C32" s="52">
        <f t="shared" si="0"/>
        <v>1.6106667515221753</v>
      </c>
      <c r="D32" s="52">
        <f t="shared" si="1"/>
        <v>1.3975423047728013</v>
      </c>
      <c r="E32" s="48">
        <f t="shared" si="2"/>
        <v>-0.21312444674937403</v>
      </c>
      <c r="F32" s="48">
        <f t="shared" si="3"/>
        <v>-0.1071159369298444</v>
      </c>
      <c r="G32" s="48">
        <f t="shared" si="4"/>
        <v>1.5035508145923309</v>
      </c>
      <c r="H32" s="30">
        <f t="shared" si="5"/>
        <v>0</v>
      </c>
    </row>
    <row r="33" spans="2:8" x14ac:dyDescent="0.25">
      <c r="B33" s="26">
        <v>30</v>
      </c>
      <c r="C33" s="52">
        <f t="shared" si="0"/>
        <v>3.1945642193693534E-3</v>
      </c>
      <c r="D33" s="52">
        <f t="shared" si="1"/>
        <v>3.60287707209932E-3</v>
      </c>
      <c r="E33" s="48">
        <f t="shared" si="2"/>
        <v>4.0831285272996658E-4</v>
      </c>
      <c r="F33" s="48">
        <f t="shared" si="3"/>
        <v>2.0521725427445083E-4</v>
      </c>
      <c r="G33" s="48">
        <f t="shared" si="4"/>
        <v>3.399781473643804E-3</v>
      </c>
      <c r="H33" s="30">
        <f t="shared" si="5"/>
        <v>0</v>
      </c>
    </row>
    <row r="34" spans="2:8" x14ac:dyDescent="0.25">
      <c r="B34" s="26">
        <v>31</v>
      </c>
      <c r="C34" s="52">
        <f t="shared" si="0"/>
        <v>1.4322222537619056</v>
      </c>
      <c r="D34" s="52">
        <f t="shared" si="1"/>
        <v>0.82280279165842463</v>
      </c>
      <c r="E34" s="48">
        <f t="shared" si="2"/>
        <v>-0.60941946210348097</v>
      </c>
      <c r="F34" s="48">
        <f t="shared" si="3"/>
        <v>-0.30629304925896728</v>
      </c>
      <c r="G34" s="48">
        <f t="shared" si="4"/>
        <v>1.1259292045029383</v>
      </c>
      <c r="H34" s="30">
        <f t="shared" si="5"/>
        <v>0</v>
      </c>
    </row>
    <row r="35" spans="2:8" x14ac:dyDescent="0.25">
      <c r="B35" s="26">
        <v>32</v>
      </c>
      <c r="C35" s="52">
        <f t="shared" si="0"/>
        <v>2.9586195514357663E-2</v>
      </c>
      <c r="D35" s="52">
        <f t="shared" si="1"/>
        <v>1.9535797704362808E-2</v>
      </c>
      <c r="E35" s="48">
        <f t="shared" si="2"/>
        <v>-1.0050397809994855E-2</v>
      </c>
      <c r="F35" s="48">
        <f t="shared" si="3"/>
        <v>-5.0513106044622127E-3</v>
      </c>
      <c r="G35" s="48">
        <f t="shared" si="4"/>
        <v>2.4534884909895451E-2</v>
      </c>
      <c r="H35" s="30">
        <f t="shared" si="5"/>
        <v>0</v>
      </c>
    </row>
    <row r="36" spans="2:8" x14ac:dyDescent="0.25">
      <c r="B36" s="26">
        <v>33</v>
      </c>
      <c r="C36" s="52">
        <f t="shared" si="0"/>
        <v>0.12233571605865014</v>
      </c>
      <c r="D36" s="52">
        <f t="shared" si="1"/>
        <v>0.13605621192601108</v>
      </c>
      <c r="E36" s="48">
        <f t="shared" si="2"/>
        <v>1.3720495867360946E-2</v>
      </c>
      <c r="F36" s="48">
        <f t="shared" si="3"/>
        <v>6.8958948276014349E-3</v>
      </c>
      <c r="G36" s="48">
        <f t="shared" si="4"/>
        <v>0.12923161088625157</v>
      </c>
      <c r="H36" s="30">
        <f t="shared" si="5"/>
        <v>0</v>
      </c>
    </row>
    <row r="37" spans="2:8" x14ac:dyDescent="0.25">
      <c r="B37" s="26">
        <v>34</v>
      </c>
      <c r="C37" s="52">
        <f t="shared" si="0"/>
        <v>0.11719738000471913</v>
      </c>
      <c r="D37" s="52">
        <f t="shared" si="1"/>
        <v>9.0950515996728487E-2</v>
      </c>
      <c r="E37" s="48">
        <f t="shared" si="2"/>
        <v>-2.6246864007990645E-2</v>
      </c>
      <c r="F37" s="48">
        <f t="shared" si="3"/>
        <v>-1.3191623356997109E-2</v>
      </c>
      <c r="G37" s="48">
        <f t="shared" si="4"/>
        <v>0.10400575664772202</v>
      </c>
      <c r="H37" s="30">
        <f t="shared" si="5"/>
        <v>0</v>
      </c>
    </row>
    <row r="38" spans="2:8" x14ac:dyDescent="0.25">
      <c r="B38" s="26">
        <v>35</v>
      </c>
      <c r="C38" s="52">
        <f t="shared" si="0"/>
        <v>1.2803616292235322</v>
      </c>
      <c r="D38" s="52">
        <f t="shared" si="1"/>
        <v>1.0290257258239199</v>
      </c>
      <c r="E38" s="48">
        <f t="shared" si="2"/>
        <v>-0.25133590339961231</v>
      </c>
      <c r="F38" s="48">
        <f t="shared" si="3"/>
        <v>-0.12632094153148768</v>
      </c>
      <c r="G38" s="48">
        <f t="shared" si="4"/>
        <v>1.1540406876920446</v>
      </c>
      <c r="H38" s="30">
        <f t="shared" si="5"/>
        <v>0</v>
      </c>
    </row>
    <row r="39" spans="2:8" x14ac:dyDescent="0.25">
      <c r="B39" s="26">
        <v>36</v>
      </c>
      <c r="C39" s="52">
        <f t="shared" si="0"/>
        <v>0.11719738000471913</v>
      </c>
      <c r="D39" s="52">
        <f t="shared" si="1"/>
        <v>9.0950515996728487E-2</v>
      </c>
      <c r="E39" s="48">
        <f t="shared" si="2"/>
        <v>-2.6246864007990645E-2</v>
      </c>
      <c r="F39" s="48">
        <f t="shared" si="3"/>
        <v>-1.3191623356997109E-2</v>
      </c>
      <c r="G39" s="48">
        <f t="shared" si="4"/>
        <v>0.10400575664772202</v>
      </c>
      <c r="H39" s="30">
        <f t="shared" si="5"/>
        <v>0</v>
      </c>
    </row>
    <row r="40" spans="2:8" x14ac:dyDescent="0.25">
      <c r="B40" s="26">
        <v>37</v>
      </c>
      <c r="C40" s="52">
        <f t="shared" si="0"/>
        <v>0.86563302172429457</v>
      </c>
      <c r="D40" s="52">
        <f t="shared" si="1"/>
        <v>0.58792408051231626</v>
      </c>
      <c r="E40" s="48">
        <f t="shared" si="2"/>
        <v>-0.27770894121197831</v>
      </c>
      <c r="F40" s="48">
        <f t="shared" si="3"/>
        <v>-0.13957597959983212</v>
      </c>
      <c r="G40" s="48">
        <f t="shared" si="4"/>
        <v>0.72605704212446243</v>
      </c>
      <c r="H40" s="30">
        <f t="shared" si="5"/>
        <v>0</v>
      </c>
    </row>
    <row r="41" spans="2:8" x14ac:dyDescent="0.25">
      <c r="B41" s="26">
        <v>38</v>
      </c>
      <c r="C41" s="52">
        <f t="shared" si="0"/>
        <v>0.11719738000471913</v>
      </c>
      <c r="D41" s="52">
        <f t="shared" si="1"/>
        <v>9.0950515996728487E-2</v>
      </c>
      <c r="E41" s="48">
        <f t="shared" si="2"/>
        <v>-2.6246864007990645E-2</v>
      </c>
      <c r="F41" s="48">
        <f t="shared" si="3"/>
        <v>-1.3191623356997109E-2</v>
      </c>
      <c r="G41" s="48">
        <f t="shared" si="4"/>
        <v>0.10400575664772202</v>
      </c>
      <c r="H41" s="30">
        <f t="shared" si="5"/>
        <v>0</v>
      </c>
    </row>
    <row r="42" spans="2:8" x14ac:dyDescent="0.25">
      <c r="B42" s="26">
        <v>39</v>
      </c>
      <c r="C42" s="52">
        <f t="shared" si="0"/>
        <v>0.12947509110634475</v>
      </c>
      <c r="D42" s="52">
        <f t="shared" si="1"/>
        <v>0.11009404781577684</v>
      </c>
      <c r="E42" s="48">
        <f t="shared" si="2"/>
        <v>-1.9381043290567918E-2</v>
      </c>
      <c r="F42" s="48">
        <f t="shared" si="3"/>
        <v>-9.7408750728083925E-3</v>
      </c>
      <c r="G42" s="48">
        <f t="shared" si="4"/>
        <v>0.11973421603353636</v>
      </c>
      <c r="H42" s="30">
        <f t="shared" si="5"/>
        <v>0</v>
      </c>
    </row>
    <row r="43" spans="2:8" x14ac:dyDescent="0.25">
      <c r="B43" s="26">
        <v>40</v>
      </c>
      <c r="C43" s="52">
        <f t="shared" si="0"/>
        <v>0.11719738000471913</v>
      </c>
      <c r="D43" s="52">
        <f t="shared" si="1"/>
        <v>9.0950515996728487E-2</v>
      </c>
      <c r="E43" s="48">
        <f t="shared" si="2"/>
        <v>-2.6246864007990645E-2</v>
      </c>
      <c r="F43" s="48">
        <f t="shared" si="3"/>
        <v>-1.3191623356997109E-2</v>
      </c>
      <c r="G43" s="48">
        <f t="shared" si="4"/>
        <v>0.10400575664772202</v>
      </c>
      <c r="H43" s="30">
        <f t="shared" si="5"/>
        <v>0</v>
      </c>
    </row>
    <row r="44" spans="2:8" x14ac:dyDescent="0.25">
      <c r="B44" s="26">
        <v>41</v>
      </c>
      <c r="C44" s="52">
        <f t="shared" si="0"/>
        <v>0.9788469484846104</v>
      </c>
      <c r="D44" s="52">
        <f t="shared" si="1"/>
        <v>0.76626902234982497</v>
      </c>
      <c r="E44" s="48">
        <f t="shared" si="2"/>
        <v>-0.21257792613478543</v>
      </c>
      <c r="F44" s="48">
        <f t="shared" si="3"/>
        <v>-0.10684125672034232</v>
      </c>
      <c r="G44" s="48">
        <f t="shared" si="4"/>
        <v>0.87200569176426812</v>
      </c>
      <c r="H44" s="30">
        <f t="shared" si="5"/>
        <v>0</v>
      </c>
    </row>
    <row r="45" spans="2:8" x14ac:dyDescent="0.25">
      <c r="B45" s="26">
        <v>42</v>
      </c>
      <c r="C45" s="52">
        <f t="shared" si="0"/>
        <v>0.11719738000471913</v>
      </c>
      <c r="D45" s="52">
        <f t="shared" si="1"/>
        <v>9.0950515996728487E-2</v>
      </c>
      <c r="E45" s="48">
        <f t="shared" si="2"/>
        <v>-2.6246864007990645E-2</v>
      </c>
      <c r="F45" s="48">
        <f t="shared" si="3"/>
        <v>-1.3191623356997109E-2</v>
      </c>
      <c r="G45" s="48">
        <f t="shared" si="4"/>
        <v>0.10400575664772202</v>
      </c>
      <c r="H45" s="30">
        <f t="shared" si="5"/>
        <v>0</v>
      </c>
    </row>
    <row r="46" spans="2:8" x14ac:dyDescent="0.25">
      <c r="B46" s="26">
        <v>43</v>
      </c>
      <c r="C46" s="52">
        <f t="shared" si="0"/>
        <v>0.75615175660327605</v>
      </c>
      <c r="D46" s="52">
        <f t="shared" si="1"/>
        <v>0.45362551647456517</v>
      </c>
      <c r="E46" s="48">
        <f t="shared" si="2"/>
        <v>-0.30252624012871088</v>
      </c>
      <c r="F46" s="48">
        <f t="shared" si="3"/>
        <v>-0.15204910629214402</v>
      </c>
      <c r="G46" s="48">
        <f t="shared" si="4"/>
        <v>0.60410265031113197</v>
      </c>
      <c r="H46" s="30">
        <f t="shared" si="5"/>
        <v>0</v>
      </c>
    </row>
    <row r="47" spans="2:8" x14ac:dyDescent="0.25">
      <c r="B47" s="26">
        <v>44</v>
      </c>
      <c r="C47" s="52">
        <f t="shared" si="0"/>
        <v>0.11719738000471913</v>
      </c>
      <c r="D47" s="52">
        <f t="shared" si="1"/>
        <v>9.0950515996728487E-2</v>
      </c>
      <c r="E47" s="48">
        <f t="shared" si="2"/>
        <v>-2.6246864007990645E-2</v>
      </c>
      <c r="F47" s="48">
        <f t="shared" si="3"/>
        <v>-1.3191623356997109E-2</v>
      </c>
      <c r="G47" s="48">
        <f t="shared" si="4"/>
        <v>0.10400575664772202</v>
      </c>
      <c r="H47" s="30">
        <f t="shared" si="5"/>
        <v>0</v>
      </c>
    </row>
    <row r="48" spans="2:8" x14ac:dyDescent="0.25">
      <c r="B48" s="26">
        <v>45</v>
      </c>
      <c r="C48" s="52">
        <f t="shared" si="0"/>
        <v>0.11721931861181524</v>
      </c>
      <c r="D48" s="52">
        <f t="shared" si="1"/>
        <v>9.0976276916425139E-2</v>
      </c>
      <c r="E48" s="48">
        <f t="shared" si="2"/>
        <v>-2.6243041695390101E-2</v>
      </c>
      <c r="F48" s="48">
        <f t="shared" si="3"/>
        <v>-1.3189702270037398E-2</v>
      </c>
      <c r="G48" s="48">
        <f t="shared" si="4"/>
        <v>0.10402961634177785</v>
      </c>
      <c r="H48" s="30">
        <f t="shared" si="5"/>
        <v>0</v>
      </c>
    </row>
    <row r="49" spans="1:21" x14ac:dyDescent="0.25">
      <c r="B49" s="26">
        <v>46</v>
      </c>
      <c r="C49" s="52">
        <f t="shared" si="0"/>
        <v>0.11719738000471913</v>
      </c>
      <c r="D49" s="52">
        <f t="shared" si="1"/>
        <v>9.0950515996728487E-2</v>
      </c>
      <c r="E49" s="48">
        <f t="shared" si="2"/>
        <v>-2.6246864007990645E-2</v>
      </c>
      <c r="F49" s="48">
        <f t="shared" si="3"/>
        <v>-1.3191623356997109E-2</v>
      </c>
      <c r="G49" s="48">
        <f t="shared" si="4"/>
        <v>0.10400575664772202</v>
      </c>
      <c r="H49" s="30">
        <f t="shared" si="5"/>
        <v>0</v>
      </c>
    </row>
    <row r="50" spans="1:21" x14ac:dyDescent="0.25">
      <c r="B50" s="26">
        <v>47</v>
      </c>
      <c r="C50" s="52">
        <f t="shared" si="0"/>
        <v>0.65683719239534155</v>
      </c>
      <c r="D50" s="52">
        <f t="shared" si="1"/>
        <v>0.58143321676267457</v>
      </c>
      <c r="E50" s="48">
        <f t="shared" si="2"/>
        <v>-7.5403975632666986E-2</v>
      </c>
      <c r="F50" s="48">
        <f t="shared" si="3"/>
        <v>-3.789789309166619E-2</v>
      </c>
      <c r="G50" s="48">
        <f t="shared" si="4"/>
        <v>0.61893929930367531</v>
      </c>
      <c r="H50" s="30">
        <f t="shared" si="5"/>
        <v>0</v>
      </c>
    </row>
    <row r="51" spans="1:21" x14ac:dyDescent="0.25">
      <c r="B51" s="26">
        <v>48</v>
      </c>
      <c r="C51" s="52">
        <f t="shared" si="0"/>
        <v>0.11719738000471913</v>
      </c>
      <c r="D51" s="52">
        <f t="shared" si="1"/>
        <v>9.0950515996728487E-2</v>
      </c>
      <c r="E51" s="48">
        <f t="shared" si="2"/>
        <v>-2.6246864007990645E-2</v>
      </c>
      <c r="F51" s="48">
        <f t="shared" si="3"/>
        <v>-1.3191623356997109E-2</v>
      </c>
      <c r="G51" s="48">
        <f t="shared" si="4"/>
        <v>0.10400575664772202</v>
      </c>
      <c r="H51" s="30">
        <f t="shared" si="5"/>
        <v>0</v>
      </c>
    </row>
    <row r="52" spans="1:21" x14ac:dyDescent="0.25">
      <c r="B52" s="26">
        <v>49</v>
      </c>
      <c r="C52" s="52">
        <f t="shared" si="0"/>
        <v>0.54372728367538525</v>
      </c>
      <c r="D52" s="52">
        <f t="shared" si="1"/>
        <v>0.33388586731319231</v>
      </c>
      <c r="E52" s="48">
        <f t="shared" si="2"/>
        <v>-0.20984141636219295</v>
      </c>
      <c r="F52" s="48">
        <f t="shared" si="3"/>
        <v>-0.10546589217310377</v>
      </c>
      <c r="G52" s="48">
        <f t="shared" si="4"/>
        <v>0.43826139150228149</v>
      </c>
      <c r="H52" s="30">
        <f t="shared" si="5"/>
        <v>0</v>
      </c>
    </row>
    <row r="53" spans="1:21" x14ac:dyDescent="0.25">
      <c r="B53" s="26">
        <v>50</v>
      </c>
      <c r="C53" s="52">
        <f t="shared" si="0"/>
        <v>0.11719738000471913</v>
      </c>
      <c r="D53" s="52">
        <f t="shared" si="1"/>
        <v>9.0950515996728487E-2</v>
      </c>
      <c r="E53" s="48">
        <f t="shared" si="2"/>
        <v>-2.6246864007990645E-2</v>
      </c>
      <c r="F53" s="48">
        <f t="shared" si="3"/>
        <v>-1.3191623356997109E-2</v>
      </c>
      <c r="G53" s="48">
        <f t="shared" si="4"/>
        <v>0.10400575664772202</v>
      </c>
      <c r="H53" s="30">
        <f t="shared" si="5"/>
        <v>0</v>
      </c>
    </row>
    <row r="54" spans="1:21" x14ac:dyDescent="0.25">
      <c r="E54" s="32"/>
      <c r="F54" s="32"/>
    </row>
    <row r="55" spans="1:21" x14ac:dyDescent="0.25">
      <c r="F55" s="26" t="s">
        <v>85</v>
      </c>
      <c r="G55" s="29">
        <f>IF(H4=0,0,100*H55/H4)</f>
        <v>0</v>
      </c>
      <c r="H55" s="29">
        <f>SQRT(SUMSQ(H5:H53))</f>
        <v>0</v>
      </c>
      <c r="I55" s="26" t="s">
        <v>52</v>
      </c>
    </row>
    <row r="56" spans="1:21" x14ac:dyDescent="0.25">
      <c r="F56" s="26" t="s">
        <v>86</v>
      </c>
      <c r="G56" s="29">
        <f>SQRT(SUMSQ(G4:G53))</f>
        <v>128.89004851466171</v>
      </c>
      <c r="H56" s="29">
        <f>SQRT(SUMSQ(H4:H53))</f>
        <v>0</v>
      </c>
      <c r="I56" s="26" t="s">
        <v>54</v>
      </c>
    </row>
    <row r="57" spans="1:21" x14ac:dyDescent="0.25">
      <c r="G57" s="26" t="s">
        <v>87</v>
      </c>
      <c r="H57" s="26" t="s">
        <v>13</v>
      </c>
    </row>
    <row r="59" spans="1:21" x14ac:dyDescent="0.25">
      <c r="A59" s="25" t="s">
        <v>63</v>
      </c>
    </row>
    <row r="60" spans="1:21" ht="14.4" x14ac:dyDescent="0.3">
      <c r="C60" s="1" t="s">
        <v>478</v>
      </c>
      <c r="D60" s="7">
        <f>100/D62</f>
        <v>1000</v>
      </c>
      <c r="E60" s="7">
        <f t="shared" ref="E60:U60" si="6">100/E62</f>
        <v>200</v>
      </c>
      <c r="F60" s="7">
        <f t="shared" si="6"/>
        <v>100</v>
      </c>
      <c r="G60" s="7">
        <f t="shared" si="6"/>
        <v>50</v>
      </c>
      <c r="H60" s="7">
        <f t="shared" si="6"/>
        <v>33.333333333333336</v>
      </c>
      <c r="I60" s="7">
        <f t="shared" si="6"/>
        <v>25</v>
      </c>
      <c r="J60" s="7">
        <f t="shared" si="6"/>
        <v>20</v>
      </c>
      <c r="K60" s="7">
        <f t="shared" si="6"/>
        <v>16.666666666666668</v>
      </c>
      <c r="L60" s="7">
        <f t="shared" si="6"/>
        <v>14.285714285714286</v>
      </c>
      <c r="M60" s="7">
        <f t="shared" si="6"/>
        <v>12.5</v>
      </c>
      <c r="N60" s="7">
        <f t="shared" si="6"/>
        <v>10</v>
      </c>
      <c r="O60" s="7">
        <f t="shared" si="6"/>
        <v>8.3333333333333339</v>
      </c>
      <c r="P60" s="7">
        <f t="shared" si="6"/>
        <v>7.1428571428571432</v>
      </c>
      <c r="Q60" s="7">
        <f t="shared" si="6"/>
        <v>5.5555555555555554</v>
      </c>
      <c r="R60" s="7">
        <f t="shared" si="6"/>
        <v>4.7619047619047619</v>
      </c>
      <c r="S60" s="7">
        <f t="shared" si="6"/>
        <v>1</v>
      </c>
      <c r="T60" s="7">
        <f t="shared" si="6"/>
        <v>0.1</v>
      </c>
      <c r="U60" s="7">
        <f t="shared" si="6"/>
        <v>0.01</v>
      </c>
    </row>
    <row r="61" spans="1:21" ht="14.4" x14ac:dyDescent="0.3">
      <c r="C61" s="1" t="s">
        <v>64</v>
      </c>
      <c r="D61">
        <v>0</v>
      </c>
      <c r="E61">
        <v>1</v>
      </c>
      <c r="F61">
        <v>2</v>
      </c>
      <c r="G61">
        <v>3</v>
      </c>
      <c r="H61">
        <v>4</v>
      </c>
      <c r="I61">
        <v>5</v>
      </c>
      <c r="J61">
        <v>6</v>
      </c>
      <c r="K61">
        <v>7</v>
      </c>
      <c r="L61">
        <v>8</v>
      </c>
      <c r="M61">
        <v>9</v>
      </c>
      <c r="N61">
        <v>10</v>
      </c>
      <c r="O61">
        <v>11</v>
      </c>
      <c r="P61">
        <v>12</v>
      </c>
      <c r="Q61">
        <v>13</v>
      </c>
      <c r="R61">
        <v>14</v>
      </c>
      <c r="S61">
        <v>15</v>
      </c>
      <c r="T61">
        <v>16</v>
      </c>
      <c r="U61">
        <v>17</v>
      </c>
    </row>
    <row r="62" spans="1:21" ht="14.4" x14ac:dyDescent="0.3">
      <c r="A62" s="26" t="s">
        <v>65</v>
      </c>
      <c r="B62" s="54"/>
      <c r="C62" s="216" t="s">
        <v>1</v>
      </c>
      <c r="D62" s="296">
        <v>0.1</v>
      </c>
      <c r="E62" s="296">
        <v>0.5</v>
      </c>
      <c r="F62" s="296">
        <v>1</v>
      </c>
      <c r="G62" s="296">
        <v>2</v>
      </c>
      <c r="H62" s="296">
        <v>3</v>
      </c>
      <c r="I62" s="296">
        <v>4</v>
      </c>
      <c r="J62" s="296">
        <v>5</v>
      </c>
      <c r="K62" s="296">
        <v>6</v>
      </c>
      <c r="L62" s="296">
        <v>7</v>
      </c>
      <c r="M62" s="296">
        <v>8</v>
      </c>
      <c r="N62" s="296">
        <v>10</v>
      </c>
      <c r="O62" s="296">
        <v>12</v>
      </c>
      <c r="P62" s="296">
        <v>14</v>
      </c>
      <c r="Q62" s="296">
        <v>18</v>
      </c>
      <c r="R62" s="296">
        <v>21</v>
      </c>
      <c r="S62" s="296">
        <v>100</v>
      </c>
      <c r="T62" s="296">
        <v>1000</v>
      </c>
      <c r="U62" s="296">
        <v>10000</v>
      </c>
    </row>
    <row r="63" spans="1:21" ht="14.4" x14ac:dyDescent="0.3">
      <c r="A63" s="31"/>
      <c r="C63" s="1" t="s">
        <v>64</v>
      </c>
      <c r="D63">
        <v>0</v>
      </c>
      <c r="E63">
        <v>1</v>
      </c>
      <c r="F63">
        <v>2</v>
      </c>
      <c r="G63">
        <v>3</v>
      </c>
      <c r="H63">
        <v>4</v>
      </c>
      <c r="I63">
        <v>5</v>
      </c>
      <c r="J63">
        <v>6</v>
      </c>
      <c r="K63">
        <v>7</v>
      </c>
      <c r="L63">
        <v>8</v>
      </c>
      <c r="M63">
        <v>9</v>
      </c>
      <c r="N63">
        <v>10</v>
      </c>
      <c r="O63">
        <v>11</v>
      </c>
      <c r="P63">
        <v>12</v>
      </c>
      <c r="Q63">
        <v>13</v>
      </c>
      <c r="R63">
        <v>14</v>
      </c>
      <c r="S63">
        <v>15</v>
      </c>
      <c r="T63">
        <v>16</v>
      </c>
      <c r="U63">
        <v>17</v>
      </c>
    </row>
    <row r="64" spans="1:21" ht="14.4" x14ac:dyDescent="0.3">
      <c r="A64" s="43">
        <v>2</v>
      </c>
      <c r="B64" s="43"/>
      <c r="C64" s="1"/>
      <c r="D64" s="298">
        <v>1.7291324964220301E-2</v>
      </c>
      <c r="E64" s="298">
        <v>6.6998018440489568E-2</v>
      </c>
      <c r="F64" s="298">
        <v>0.12416560747379798</v>
      </c>
      <c r="G64" s="298">
        <v>0.19164678959143519</v>
      </c>
      <c r="H64" s="298">
        <v>3.2432337711389723E-2</v>
      </c>
      <c r="I64" s="298">
        <v>2.6794917304969575E-2</v>
      </c>
      <c r="J64" s="298">
        <v>1.0787351058726545E-2</v>
      </c>
      <c r="K64" s="298">
        <v>1.5488830696511377E-2</v>
      </c>
      <c r="L64" s="298">
        <v>1.1120918013740941E-2</v>
      </c>
      <c r="M64" s="298">
        <v>1.2571907703050382E-2</v>
      </c>
      <c r="N64" s="298">
        <v>2.636287592484499E-2</v>
      </c>
      <c r="O64" s="298">
        <v>3.9068771982494086E-3</v>
      </c>
      <c r="P64" s="298">
        <v>1.783236037225493E-2</v>
      </c>
      <c r="Q64" s="298">
        <v>6.5715038062707058E-3</v>
      </c>
      <c r="R64" s="298">
        <v>5.7146036546192576E-3</v>
      </c>
      <c r="S64" s="298">
        <v>5.7146036546192576E-3</v>
      </c>
      <c r="T64" s="298">
        <v>5.7146036546192576E-3</v>
      </c>
      <c r="U64" s="298">
        <v>5.7146036546192576E-3</v>
      </c>
    </row>
    <row r="65" spans="1:21" ht="14.4" x14ac:dyDescent="0.3">
      <c r="A65" s="43">
        <v>3</v>
      </c>
      <c r="B65" s="43"/>
      <c r="C65" s="1"/>
      <c r="D65" s="298">
        <v>0.55385104430828935</v>
      </c>
      <c r="E65" s="298">
        <v>8.5473774716319078</v>
      </c>
      <c r="F65" s="298">
        <v>4.3857615521600959</v>
      </c>
      <c r="G65" s="298">
        <v>4.8916763402676038</v>
      </c>
      <c r="H65" s="298">
        <v>5.107248510230364</v>
      </c>
      <c r="I65" s="298">
        <v>6.2072885442798249</v>
      </c>
      <c r="J65" s="298">
        <v>7.7608557639223745</v>
      </c>
      <c r="K65" s="298">
        <v>5.1365577880102951</v>
      </c>
      <c r="L65" s="298">
        <v>3.7115343236794409</v>
      </c>
      <c r="M65" s="298">
        <v>2.8652501742303245</v>
      </c>
      <c r="N65" s="298">
        <v>1.976424393859703</v>
      </c>
      <c r="O65" s="298">
        <v>1.512989131711088</v>
      </c>
      <c r="P65" s="298">
        <v>1.2479844012146544</v>
      </c>
      <c r="Q65" s="298">
        <v>0.90186138282906037</v>
      </c>
      <c r="R65" s="298">
        <v>0.8611207071065603</v>
      </c>
      <c r="S65" s="298">
        <v>0.8611207071065603</v>
      </c>
      <c r="T65" s="298">
        <v>0.8611207071065603</v>
      </c>
      <c r="U65" s="298">
        <v>0.8611207071065603</v>
      </c>
    </row>
    <row r="66" spans="1:21" ht="14.4" x14ac:dyDescent="0.3">
      <c r="A66" s="43">
        <v>4</v>
      </c>
      <c r="B66" s="43"/>
      <c r="C66" s="1"/>
      <c r="D66" s="298">
        <v>0.13520250276733159</v>
      </c>
      <c r="E66" s="298">
        <v>2.8695360144102396E-2</v>
      </c>
      <c r="F66" s="298">
        <v>0.11237654569855723</v>
      </c>
      <c r="G66" s="298">
        <v>0.1270693443534559</v>
      </c>
      <c r="H66" s="298">
        <v>2.9673650735424224E-2</v>
      </c>
      <c r="I66" s="298">
        <v>2.1212221057019379E-2</v>
      </c>
      <c r="J66" s="298">
        <v>1.8916758051922035E-2</v>
      </c>
      <c r="K66" s="298">
        <v>2.4591818946340816E-2</v>
      </c>
      <c r="L66" s="298">
        <v>2.2309871990685983E-2</v>
      </c>
      <c r="M66" s="298">
        <v>1.4672119245636975E-2</v>
      </c>
      <c r="N66" s="298">
        <v>3.4977738354405041E-3</v>
      </c>
      <c r="O66" s="298">
        <v>3.318391374383355E-3</v>
      </c>
      <c r="P66" s="298">
        <v>1.8380050856337499E-2</v>
      </c>
      <c r="Q66" s="298">
        <v>5.7240454854559945E-3</v>
      </c>
      <c r="R66" s="298">
        <v>1.5847873572736098E-3</v>
      </c>
      <c r="S66" s="298">
        <v>1.5847873572736098E-3</v>
      </c>
      <c r="T66" s="298">
        <v>1.5847873572736098E-3</v>
      </c>
      <c r="U66" s="298">
        <v>1.5847873572736098E-3</v>
      </c>
    </row>
    <row r="67" spans="1:21" ht="14.4" x14ac:dyDescent="0.3">
      <c r="A67" s="43">
        <v>5</v>
      </c>
      <c r="B67" s="43"/>
      <c r="C67" s="1"/>
      <c r="D67" s="298">
        <v>93.368748010282204</v>
      </c>
      <c r="E67" s="298">
        <v>82.87682728374898</v>
      </c>
      <c r="F67" s="298">
        <v>73.247221838386295</v>
      </c>
      <c r="G67" s="298">
        <v>60.831459052554194</v>
      </c>
      <c r="H67" s="298">
        <v>49.382828970020235</v>
      </c>
      <c r="I67" s="298">
        <v>41.72752692184784</v>
      </c>
      <c r="J67" s="298">
        <v>37.27946499417164</v>
      </c>
      <c r="K67" s="298">
        <v>34.240442443062605</v>
      </c>
      <c r="L67" s="298">
        <v>31.801834469310585</v>
      </c>
      <c r="M67" s="298">
        <v>29.833911528390878</v>
      </c>
      <c r="N67" s="298">
        <v>26.829447444032468</v>
      </c>
      <c r="O67" s="298">
        <v>24.524377947577921</v>
      </c>
      <c r="P67" s="298">
        <v>22.666145948519805</v>
      </c>
      <c r="Q67" s="298">
        <v>19.683481307529799</v>
      </c>
      <c r="R67" s="298">
        <v>19.55420880107971</v>
      </c>
      <c r="S67" s="298">
        <v>19.55420880107971</v>
      </c>
      <c r="T67" s="298">
        <v>19.55420880107971</v>
      </c>
      <c r="U67" s="298">
        <v>19.55420880107971</v>
      </c>
    </row>
    <row r="68" spans="1:21" ht="14.4" x14ac:dyDescent="0.3">
      <c r="A68" s="43">
        <v>6</v>
      </c>
      <c r="B68" s="43"/>
      <c r="C68" s="1"/>
      <c r="D68" s="298">
        <v>6.8818496078623531E-2</v>
      </c>
      <c r="E68" s="298">
        <v>5.2936191485114158E-2</v>
      </c>
      <c r="F68" s="298">
        <v>7.0102641631974985E-3</v>
      </c>
      <c r="G68" s="298">
        <v>1.1862351899176933E-2</v>
      </c>
      <c r="H68" s="298">
        <v>1.9222702695116914E-3</v>
      </c>
      <c r="I68" s="298">
        <v>1.1087146410300954E-2</v>
      </c>
      <c r="J68" s="298">
        <v>6.7285132893848583E-3</v>
      </c>
      <c r="K68" s="298">
        <v>4.5194792975590103E-3</v>
      </c>
      <c r="L68" s="298">
        <v>6.0169639857389576E-3</v>
      </c>
      <c r="M68" s="298">
        <v>7.3330327729595772E-3</v>
      </c>
      <c r="N68" s="298">
        <v>4.9368015428742544E-3</v>
      </c>
      <c r="O68" s="298">
        <v>2.1005572354824645E-3</v>
      </c>
      <c r="P68" s="298">
        <v>9.2816222816082712E-3</v>
      </c>
      <c r="Q68" s="298">
        <v>3.8021989595571734E-3</v>
      </c>
      <c r="R68" s="298">
        <v>2.6949365909897677E-3</v>
      </c>
      <c r="S68" s="298">
        <v>2.6949365909897677E-3</v>
      </c>
      <c r="T68" s="298">
        <v>2.6949365909897677E-3</v>
      </c>
      <c r="U68" s="298">
        <v>2.6949365909897677E-3</v>
      </c>
    </row>
    <row r="69" spans="1:21" ht="14.4" x14ac:dyDescent="0.3">
      <c r="A69" s="43">
        <v>7</v>
      </c>
      <c r="B69" s="43"/>
      <c r="C69" s="1"/>
      <c r="D69" s="298">
        <v>85.792929223620419</v>
      </c>
      <c r="E69" s="298">
        <v>65.67536665068971</v>
      </c>
      <c r="F69" s="298">
        <v>52.471101352240538</v>
      </c>
      <c r="G69" s="298">
        <v>34.473926081721721</v>
      </c>
      <c r="H69" s="298">
        <v>20.70483242585701</v>
      </c>
      <c r="I69" s="298">
        <v>13.8859457017344</v>
      </c>
      <c r="J69" s="298">
        <v>10.407370469722119</v>
      </c>
      <c r="K69" s="298">
        <v>8.4234250472584673</v>
      </c>
      <c r="L69" s="298">
        <v>7.3447486655802345</v>
      </c>
      <c r="M69" s="298">
        <v>6.8022663683683335</v>
      </c>
      <c r="N69" s="298">
        <v>6.5166708279323533</v>
      </c>
      <c r="O69" s="298">
        <v>6.6273860488121423</v>
      </c>
      <c r="P69" s="298">
        <v>6.8022403042729351</v>
      </c>
      <c r="Q69" s="298">
        <v>6.987229811341364</v>
      </c>
      <c r="R69" s="298">
        <v>7.326010337515557</v>
      </c>
      <c r="S69" s="298">
        <v>7.326010337515557</v>
      </c>
      <c r="T69" s="298">
        <v>7.326010337515557</v>
      </c>
      <c r="U69" s="298">
        <v>7.326010337515557</v>
      </c>
    </row>
    <row r="70" spans="1:21" ht="14.4" x14ac:dyDescent="0.3">
      <c r="A70" s="43">
        <v>8</v>
      </c>
      <c r="B70" s="43"/>
      <c r="C70" s="1"/>
      <c r="D70" s="298">
        <v>0.15207091572872264</v>
      </c>
      <c r="E70" s="298">
        <v>5.2891824469196221E-2</v>
      </c>
      <c r="F70" s="298">
        <v>5.7040082585237739E-2</v>
      </c>
      <c r="G70" s="298">
        <v>1.9116049168177565E-2</v>
      </c>
      <c r="H70" s="298">
        <v>2.3564987660073828E-2</v>
      </c>
      <c r="I70" s="298">
        <v>8.5355102461392024E-3</v>
      </c>
      <c r="J70" s="298">
        <v>1.9603945043945102E-2</v>
      </c>
      <c r="K70" s="298">
        <v>1.2636657164619786E-2</v>
      </c>
      <c r="L70" s="298">
        <v>1.0643351525778579E-2</v>
      </c>
      <c r="M70" s="298">
        <v>4.3473848598230228E-3</v>
      </c>
      <c r="N70" s="298">
        <v>2.5415807506222721E-3</v>
      </c>
      <c r="O70" s="298">
        <v>1.2216655309818655E-3</v>
      </c>
      <c r="P70" s="298">
        <v>6.4595461603830819E-3</v>
      </c>
      <c r="Q70" s="298">
        <v>1.3983813924981661E-3</v>
      </c>
      <c r="R70" s="298">
        <v>3.4056178014729927E-3</v>
      </c>
      <c r="S70" s="298">
        <v>3.4056178014729927E-3</v>
      </c>
      <c r="T70" s="298">
        <v>3.4056178014729927E-3</v>
      </c>
      <c r="U70" s="298">
        <v>3.4056178014729927E-3</v>
      </c>
    </row>
    <row r="71" spans="1:21" ht="14.4" x14ac:dyDescent="0.3">
      <c r="A71" s="43">
        <v>9</v>
      </c>
      <c r="B71" s="43"/>
      <c r="C71" s="1"/>
      <c r="D71" s="298">
        <v>1.154353524821659</v>
      </c>
      <c r="E71" s="298">
        <v>3.5914593530271834</v>
      </c>
      <c r="F71" s="298">
        <v>0.66156600737101889</v>
      </c>
      <c r="G71" s="298">
        <v>0.60368769264829547</v>
      </c>
      <c r="H71" s="298">
        <v>0.42447764331950832</v>
      </c>
      <c r="I71" s="298">
        <v>1.0648962156533353</v>
      </c>
      <c r="J71" s="298">
        <v>1.5532650518305111</v>
      </c>
      <c r="K71" s="298">
        <v>0.98716445545758624</v>
      </c>
      <c r="L71" s="298">
        <v>0.68104076968532634</v>
      </c>
      <c r="M71" s="298">
        <v>0.50610374236669098</v>
      </c>
      <c r="N71" s="298">
        <v>0.31868142208094846</v>
      </c>
      <c r="O71" s="298">
        <v>0.22626624756676589</v>
      </c>
      <c r="P71" s="298">
        <v>0.1789795622711387</v>
      </c>
      <c r="Q71" s="298">
        <v>0.13966052871548112</v>
      </c>
      <c r="R71" s="298">
        <v>0.13247290047204982</v>
      </c>
      <c r="S71" s="298">
        <v>0.13247290047204982</v>
      </c>
      <c r="T71" s="298">
        <v>0.13247290047204982</v>
      </c>
      <c r="U71" s="298">
        <v>0.13247290047204982</v>
      </c>
    </row>
    <row r="72" spans="1:21" ht="14.4" x14ac:dyDescent="0.3">
      <c r="A72" s="43">
        <v>10</v>
      </c>
      <c r="B72" s="43"/>
      <c r="C72" s="1"/>
      <c r="D72" s="298">
        <v>0.2294007148283545</v>
      </c>
      <c r="E72" s="298">
        <v>4.67408371331944E-2</v>
      </c>
      <c r="F72" s="298">
        <v>3.9171017790739594E-2</v>
      </c>
      <c r="G72" s="298">
        <v>3.1896110289054799E-2</v>
      </c>
      <c r="H72" s="298">
        <v>9.7072760067846587E-3</v>
      </c>
      <c r="I72" s="298">
        <v>1.3760275349404955E-2</v>
      </c>
      <c r="J72" s="298">
        <v>1.2351163020258928E-2</v>
      </c>
      <c r="K72" s="298">
        <v>7.8770677291336265E-3</v>
      </c>
      <c r="L72" s="298">
        <v>6.6241460677741474E-3</v>
      </c>
      <c r="M72" s="298">
        <v>9.5446111698385379E-4</v>
      </c>
      <c r="N72" s="298">
        <v>5.9000829249238182E-3</v>
      </c>
      <c r="O72" s="298">
        <v>2.8410236973985879E-3</v>
      </c>
      <c r="P72" s="298">
        <v>3.0933034144878684E-3</v>
      </c>
      <c r="Q72" s="298">
        <v>1.7024651539385351E-3</v>
      </c>
      <c r="R72" s="298">
        <v>3.8405411483555876E-3</v>
      </c>
      <c r="S72" s="298">
        <v>3.8405411483555876E-3</v>
      </c>
      <c r="T72" s="298">
        <v>3.8405411483555876E-3</v>
      </c>
      <c r="U72" s="298">
        <v>3.8405411483555876E-3</v>
      </c>
    </row>
    <row r="73" spans="1:21" ht="14.4" x14ac:dyDescent="0.3">
      <c r="A73" s="43">
        <v>11</v>
      </c>
      <c r="B73" s="43"/>
      <c r="C73" s="1"/>
      <c r="D73" s="298">
        <v>69.048567707776243</v>
      </c>
      <c r="E73" s="298">
        <v>33.685348584817774</v>
      </c>
      <c r="F73" s="298">
        <v>15.583787301158949</v>
      </c>
      <c r="G73" s="298">
        <v>6.5636008603412694</v>
      </c>
      <c r="H73" s="298">
        <v>7.6797975872700235</v>
      </c>
      <c r="I73" s="298">
        <v>7.4570840283088478</v>
      </c>
      <c r="J73" s="298">
        <v>6.9055670232180777</v>
      </c>
      <c r="K73" s="298">
        <v>6.5341193000171698</v>
      </c>
      <c r="L73" s="298">
        <v>6.0786150094839924</v>
      </c>
      <c r="M73" s="298">
        <v>5.6151234987755405</v>
      </c>
      <c r="N73" s="298">
        <v>4.7731220793376856</v>
      </c>
      <c r="O73" s="298">
        <v>4.037747204995374</v>
      </c>
      <c r="P73" s="298">
        <v>3.4442053406397228</v>
      </c>
      <c r="Q73" s="298">
        <v>2.6571079286057731</v>
      </c>
      <c r="R73" s="298">
        <v>2.6319335627413896</v>
      </c>
      <c r="S73" s="298">
        <v>2.6319335627413896</v>
      </c>
      <c r="T73" s="298">
        <v>2.6319335627413896</v>
      </c>
      <c r="U73" s="298">
        <v>2.6319335627413896</v>
      </c>
    </row>
    <row r="74" spans="1:21" ht="14.4" x14ac:dyDescent="0.3">
      <c r="A74" s="43">
        <v>12</v>
      </c>
      <c r="B74" s="43"/>
      <c r="C74" s="1"/>
      <c r="D74" s="298">
        <v>4.3926126021925166E-2</v>
      </c>
      <c r="E74" s="298">
        <v>1.2877494467594758E-2</v>
      </c>
      <c r="F74" s="298">
        <v>4.5954157397374695E-3</v>
      </c>
      <c r="G74" s="298">
        <v>5.329225146697902E-3</v>
      </c>
      <c r="H74" s="298">
        <v>1.7455825337836627E-3</v>
      </c>
      <c r="I74" s="298">
        <v>6.1922252654432195E-3</v>
      </c>
      <c r="J74" s="298">
        <v>4.6340307760456886E-3</v>
      </c>
      <c r="K74" s="298">
        <v>1.2658928420938899E-3</v>
      </c>
      <c r="L74" s="298">
        <v>7.2345470714335765E-4</v>
      </c>
      <c r="M74" s="298">
        <v>2.8137542278655172E-3</v>
      </c>
      <c r="N74" s="298">
        <v>3.3387817150023614E-3</v>
      </c>
      <c r="O74" s="298">
        <v>7.0415228820549169E-4</v>
      </c>
      <c r="P74" s="298">
        <v>3.2866827675993235E-3</v>
      </c>
      <c r="Q74" s="298">
        <v>2.129932191298423E-3</v>
      </c>
      <c r="R74" s="298">
        <v>3.0726078205235829E-3</v>
      </c>
      <c r="S74" s="298">
        <v>3.0726078205235829E-3</v>
      </c>
      <c r="T74" s="298">
        <v>3.0726078205235829E-3</v>
      </c>
      <c r="U74" s="298">
        <v>3.0726078205235829E-3</v>
      </c>
    </row>
    <row r="75" spans="1:21" ht="14.4" x14ac:dyDescent="0.3">
      <c r="A75" s="43">
        <v>13</v>
      </c>
      <c r="B75" s="43"/>
      <c r="C75" s="1"/>
      <c r="D75" s="298">
        <v>57.626071680473594</v>
      </c>
      <c r="E75" s="298">
        <v>19.008833408591933</v>
      </c>
      <c r="F75" s="298">
        <v>6.0811074483745449</v>
      </c>
      <c r="G75" s="298">
        <v>6.4203508662030933</v>
      </c>
      <c r="H75" s="298">
        <v>4.053836065316168</v>
      </c>
      <c r="I75" s="298">
        <v>3.136813925533426</v>
      </c>
      <c r="J75" s="298">
        <v>3.2687886565984781</v>
      </c>
      <c r="K75" s="298">
        <v>3.1927019928471165</v>
      </c>
      <c r="L75" s="298">
        <v>3.1590323561450395</v>
      </c>
      <c r="M75" s="298">
        <v>3.1114405010378423</v>
      </c>
      <c r="N75" s="298">
        <v>2.9413990501469054</v>
      </c>
      <c r="O75" s="298">
        <v>2.6891381919916104</v>
      </c>
      <c r="P75" s="298">
        <v>2.4129113867682368</v>
      </c>
      <c r="Q75" s="298">
        <v>1.9019132140355048</v>
      </c>
      <c r="R75" s="298">
        <v>1.9731316672454773</v>
      </c>
      <c r="S75" s="298">
        <v>1.9731316672454773</v>
      </c>
      <c r="T75" s="298">
        <v>1.9731316672454773</v>
      </c>
      <c r="U75" s="298">
        <v>1.9731316672454773</v>
      </c>
    </row>
    <row r="76" spans="1:21" ht="14.4" x14ac:dyDescent="0.3">
      <c r="A76" s="43">
        <v>14</v>
      </c>
      <c r="B76" s="43"/>
      <c r="C76" s="1"/>
      <c r="D76" s="298">
        <v>0.20927403927484672</v>
      </c>
      <c r="E76" s="298">
        <v>5.5602611265487843E-2</v>
      </c>
      <c r="F76" s="298">
        <v>4.0150680983375708E-2</v>
      </c>
      <c r="G76" s="298">
        <v>1.1364022598705132E-2</v>
      </c>
      <c r="H76" s="298">
        <v>1.5808693433503308E-2</v>
      </c>
      <c r="I76" s="298">
        <v>1.1300571663228018E-2</v>
      </c>
      <c r="J76" s="298">
        <v>1.3986444352451872E-2</v>
      </c>
      <c r="K76" s="298">
        <v>1.3726550136797936E-2</v>
      </c>
      <c r="L76" s="298">
        <v>1.2922710779955417E-2</v>
      </c>
      <c r="M76" s="298">
        <v>6.7573395777536377E-3</v>
      </c>
      <c r="N76" s="298">
        <v>6.0541163970223889E-3</v>
      </c>
      <c r="O76" s="298">
        <v>8.8566143641728831E-4</v>
      </c>
      <c r="P76" s="298">
        <v>4.5856434142929501E-3</v>
      </c>
      <c r="Q76" s="298">
        <v>2.3769049086772155E-3</v>
      </c>
      <c r="R76" s="298">
        <v>2.1687917940923906E-3</v>
      </c>
      <c r="S76" s="298">
        <v>2.1687917940923906E-3</v>
      </c>
      <c r="T76" s="298">
        <v>2.1687917940923906E-3</v>
      </c>
      <c r="U76" s="298">
        <v>2.1687917940923906E-3</v>
      </c>
    </row>
    <row r="77" spans="1:21" ht="14.4" x14ac:dyDescent="0.3">
      <c r="A77" s="43">
        <v>15</v>
      </c>
      <c r="B77" s="43"/>
      <c r="C77" s="1"/>
      <c r="D77" s="298">
        <v>1.136851568371505</v>
      </c>
      <c r="E77" s="298">
        <v>0.23095610968918576</v>
      </c>
      <c r="F77" s="298">
        <v>0.45935010470309795</v>
      </c>
      <c r="G77" s="298">
        <v>0.33979479464125767</v>
      </c>
      <c r="H77" s="298">
        <v>0.19877874639876153</v>
      </c>
      <c r="I77" s="298">
        <v>0.6117370588990978</v>
      </c>
      <c r="J77" s="298">
        <v>0.7739736036483279</v>
      </c>
      <c r="K77" s="298">
        <v>0.47689818111624066</v>
      </c>
      <c r="L77" s="298">
        <v>0.32445444976062632</v>
      </c>
      <c r="M77" s="298">
        <v>0.24590737646040681</v>
      </c>
      <c r="N77" s="298">
        <v>0.17863761703347875</v>
      </c>
      <c r="O77" s="298">
        <v>0.15238590146764369</v>
      </c>
      <c r="P77" s="298">
        <v>0.13879587874692803</v>
      </c>
      <c r="Q77" s="298">
        <v>0.10849930149243135</v>
      </c>
      <c r="R77" s="298">
        <v>0.10438708261063094</v>
      </c>
      <c r="S77" s="298">
        <v>0.10438708261063094</v>
      </c>
      <c r="T77" s="298">
        <v>0.10438708261063094</v>
      </c>
      <c r="U77" s="298">
        <v>0.10438708261063094</v>
      </c>
    </row>
    <row r="78" spans="1:21" ht="14.4" x14ac:dyDescent="0.3">
      <c r="A78" s="43">
        <v>16</v>
      </c>
      <c r="B78" s="43"/>
      <c r="C78" s="1"/>
      <c r="D78" s="298">
        <v>0.21260480542905863</v>
      </c>
      <c r="E78" s="298">
        <v>5.5251059810874539E-2</v>
      </c>
      <c r="F78" s="298">
        <v>2.9549060045343564E-2</v>
      </c>
      <c r="G78" s="298">
        <v>1.9149260351853523E-2</v>
      </c>
      <c r="H78" s="298">
        <v>8.8894084206710914E-3</v>
      </c>
      <c r="I78" s="298">
        <v>9.8004503653837914E-3</v>
      </c>
      <c r="J78" s="298">
        <v>9.3355107602731344E-3</v>
      </c>
      <c r="K78" s="298">
        <v>1.1176506405604431E-2</v>
      </c>
      <c r="L78" s="298">
        <v>1.0797812516310075E-2</v>
      </c>
      <c r="M78" s="298">
        <v>4.9258459762198314E-3</v>
      </c>
      <c r="N78" s="298">
        <v>1.5412362332936629E-3</v>
      </c>
      <c r="O78" s="298">
        <v>1.7707278526791228E-3</v>
      </c>
      <c r="P78" s="298">
        <v>3.8905467511792919E-3</v>
      </c>
      <c r="Q78" s="298">
        <v>3.1270051788819786E-3</v>
      </c>
      <c r="R78" s="298">
        <v>2.7546885466757905E-3</v>
      </c>
      <c r="S78" s="298">
        <v>2.7546885466757905E-3</v>
      </c>
      <c r="T78" s="298">
        <v>2.7546885466757905E-3</v>
      </c>
      <c r="U78" s="298">
        <v>2.7546885466757905E-3</v>
      </c>
    </row>
    <row r="79" spans="1:21" ht="14.4" x14ac:dyDescent="0.3">
      <c r="A79" s="43">
        <v>17</v>
      </c>
      <c r="B79" s="43"/>
      <c r="C79" s="1"/>
      <c r="D79" s="299">
        <v>38.305868434141544</v>
      </c>
      <c r="E79" s="298">
        <v>5.2999903687276673</v>
      </c>
      <c r="F79" s="298">
        <v>6.2578007441416821</v>
      </c>
      <c r="G79" s="299">
        <v>3.651615692351549</v>
      </c>
      <c r="H79" s="299">
        <v>3.9361368606820331</v>
      </c>
      <c r="I79" s="299">
        <v>3.5365888642625669</v>
      </c>
      <c r="J79" s="298">
        <v>2.7954962272937816</v>
      </c>
      <c r="K79" s="298">
        <v>2.4617473384512585</v>
      </c>
      <c r="L79" s="298">
        <v>2.1281057585635259</v>
      </c>
      <c r="M79" s="298">
        <v>1.850567348179557</v>
      </c>
      <c r="N79" s="299">
        <v>1.5324828885585096</v>
      </c>
      <c r="O79" s="298">
        <v>1.4251739565426205</v>
      </c>
      <c r="P79" s="298">
        <v>1.4117622874341469</v>
      </c>
      <c r="Q79" s="298">
        <v>1.3485789449567889</v>
      </c>
      <c r="R79" s="298">
        <v>1.3516864824509252</v>
      </c>
      <c r="S79" s="298">
        <v>1.3516864824509252</v>
      </c>
      <c r="T79" s="298">
        <v>1.3516864824509252</v>
      </c>
      <c r="U79" s="298">
        <v>1.3516864824509252</v>
      </c>
    </row>
    <row r="80" spans="1:21" ht="14.4" x14ac:dyDescent="0.3">
      <c r="A80" s="43">
        <v>18</v>
      </c>
      <c r="B80" s="43"/>
      <c r="C80" s="1"/>
      <c r="D80" s="298">
        <v>6.8073317161051342E-3</v>
      </c>
      <c r="E80" s="298">
        <v>4.4855023970696963E-3</v>
      </c>
      <c r="F80" s="298">
        <v>3.7080452251308581E-3</v>
      </c>
      <c r="G80" s="298">
        <v>4.1891794258732719E-3</v>
      </c>
      <c r="H80" s="298">
        <v>2.5800652861531514E-3</v>
      </c>
      <c r="I80" s="298">
        <v>5.1323452366736095E-3</v>
      </c>
      <c r="J80" s="298">
        <v>3.2624660891922676E-3</v>
      </c>
      <c r="K80" s="298">
        <v>9.7248963017647263E-4</v>
      </c>
      <c r="L80" s="298">
        <v>5.3824967182370125E-4</v>
      </c>
      <c r="M80" s="298">
        <v>3.4207800467921257E-3</v>
      </c>
      <c r="N80" s="298">
        <v>2.3022193218101682E-3</v>
      </c>
      <c r="O80" s="298">
        <v>7.1766985210155283E-4</v>
      </c>
      <c r="P80" s="298">
        <v>1.6747979107749516E-3</v>
      </c>
      <c r="Q80" s="298">
        <v>1.0243399597807483E-3</v>
      </c>
      <c r="R80" s="298">
        <v>2.7645882744071495E-3</v>
      </c>
      <c r="S80" s="298">
        <v>2.7645882744071495E-3</v>
      </c>
      <c r="T80" s="298">
        <v>2.7645882744071495E-3</v>
      </c>
      <c r="U80" s="298">
        <v>2.7645882744071495E-3</v>
      </c>
    </row>
    <row r="81" spans="1:21" ht="14.4" x14ac:dyDescent="0.3">
      <c r="A81" s="43">
        <v>19</v>
      </c>
      <c r="B81" s="43"/>
      <c r="C81" s="1"/>
      <c r="D81" s="298">
        <v>28.12675018493254</v>
      </c>
      <c r="E81" s="298">
        <v>5.7694235730205383</v>
      </c>
      <c r="F81" s="298">
        <v>4.4923444139523241</v>
      </c>
      <c r="G81" s="298">
        <v>2.461818140179882</v>
      </c>
      <c r="H81" s="298">
        <v>1.5612033953483941</v>
      </c>
      <c r="I81" s="298">
        <v>1.435344927819425</v>
      </c>
      <c r="J81" s="298">
        <v>1.8152549557696753</v>
      </c>
      <c r="K81" s="298">
        <v>1.7533389509717254</v>
      </c>
      <c r="L81" s="298">
        <v>1.6441205577377018</v>
      </c>
      <c r="M81" s="298">
        <v>1.5015094716885002</v>
      </c>
      <c r="N81" s="298">
        <v>1.1978760529333901</v>
      </c>
      <c r="O81" s="298">
        <v>0.96493434637770215</v>
      </c>
      <c r="P81" s="298">
        <v>0.86230538911097832</v>
      </c>
      <c r="Q81" s="298">
        <v>0.87143134542122158</v>
      </c>
      <c r="R81" s="298">
        <v>0.89423887387252965</v>
      </c>
      <c r="S81" s="298">
        <v>0.89423887387252965</v>
      </c>
      <c r="T81" s="298">
        <v>0.89423887387252965</v>
      </c>
      <c r="U81" s="298">
        <v>0.89423887387252965</v>
      </c>
    </row>
    <row r="82" spans="1:21" ht="14.4" x14ac:dyDescent="0.3">
      <c r="A82" s="43">
        <v>20</v>
      </c>
      <c r="B82" s="43"/>
      <c r="C82" s="1"/>
      <c r="D82" s="298">
        <v>0.16228025606892954</v>
      </c>
      <c r="E82" s="298">
        <v>3.4304595434386999E-2</v>
      </c>
      <c r="F82" s="298">
        <v>3.603503131369204E-2</v>
      </c>
      <c r="G82" s="298">
        <v>1.3414457398225953E-2</v>
      </c>
      <c r="H82" s="298">
        <v>1.3820648138552563E-2</v>
      </c>
      <c r="I82" s="298">
        <v>1.2553645285502412E-2</v>
      </c>
      <c r="J82" s="298">
        <v>1.1519216055600136E-2</v>
      </c>
      <c r="K82" s="298">
        <v>1.2482583619361326E-2</v>
      </c>
      <c r="L82" s="298">
        <v>1.0659586926913772E-2</v>
      </c>
      <c r="M82" s="298">
        <v>3.9990621565117561E-3</v>
      </c>
      <c r="N82" s="298">
        <v>4.289924599988241E-3</v>
      </c>
      <c r="O82" s="298">
        <v>2.3631359410929234E-3</v>
      </c>
      <c r="P82" s="298">
        <v>2.0372139828744758E-3</v>
      </c>
      <c r="Q82" s="298">
        <v>2.6099379219788315E-3</v>
      </c>
      <c r="R82" s="298">
        <v>3.3164014470484933E-3</v>
      </c>
      <c r="S82" s="298">
        <v>3.3164014470484933E-3</v>
      </c>
      <c r="T82" s="298">
        <v>3.3164014470484933E-3</v>
      </c>
      <c r="U82" s="298">
        <v>3.3164014470484933E-3</v>
      </c>
    </row>
    <row r="83" spans="1:21" ht="14.4" x14ac:dyDescent="0.3">
      <c r="A83" s="43">
        <v>21</v>
      </c>
      <c r="B83" s="43"/>
      <c r="C83" s="1"/>
      <c r="D83" s="298">
        <v>0.62329316321319206</v>
      </c>
      <c r="E83" s="298">
        <v>0.38652912360520963</v>
      </c>
      <c r="F83" s="298">
        <v>0.28848587809075404</v>
      </c>
      <c r="G83" s="298">
        <v>0.2327624797312611</v>
      </c>
      <c r="H83" s="298">
        <v>0.12695962714013889</v>
      </c>
      <c r="I83" s="298">
        <v>0.43156831387325317</v>
      </c>
      <c r="J83" s="298">
        <v>0.51232861946084751</v>
      </c>
      <c r="K83" s="298">
        <v>0.33639919482821595</v>
      </c>
      <c r="L83" s="298">
        <v>0.24976274080004948</v>
      </c>
      <c r="M83" s="298">
        <v>0.20143664947276263</v>
      </c>
      <c r="N83" s="298">
        <v>0.14886071320433725</v>
      </c>
      <c r="O83" s="298">
        <v>0.11057082122039739</v>
      </c>
      <c r="P83" s="298">
        <v>8.69095877563483E-2</v>
      </c>
      <c r="Q83" s="298">
        <v>6.469840401868561E-2</v>
      </c>
      <c r="R83" s="298">
        <v>6.207334554446476E-2</v>
      </c>
      <c r="S83" s="298">
        <v>6.207334554446476E-2</v>
      </c>
      <c r="T83" s="298">
        <v>6.207334554446476E-2</v>
      </c>
      <c r="U83" s="298">
        <v>6.207334554446476E-2</v>
      </c>
    </row>
    <row r="84" spans="1:21" ht="14.4" x14ac:dyDescent="0.3">
      <c r="A84" s="43">
        <v>22</v>
      </c>
      <c r="B84" s="43"/>
      <c r="C84" s="1"/>
      <c r="D84" s="298">
        <v>0.10196628651957353</v>
      </c>
      <c r="E84" s="298">
        <v>3.8702088424270906E-2</v>
      </c>
      <c r="F84" s="298">
        <v>3.2940823141321553E-2</v>
      </c>
      <c r="G84" s="298">
        <v>1.4397088226243407E-2</v>
      </c>
      <c r="H84" s="298">
        <v>8.0433131135157904E-3</v>
      </c>
      <c r="I84" s="298">
        <v>9.1411482785596215E-3</v>
      </c>
      <c r="J84" s="298">
        <v>1.3328297513609087E-2</v>
      </c>
      <c r="K84" s="298">
        <v>9.9334339431091864E-3</v>
      </c>
      <c r="L84" s="298">
        <v>8.7776949548354632E-3</v>
      </c>
      <c r="M84" s="298">
        <v>2.8422690440152187E-3</v>
      </c>
      <c r="N84" s="298">
        <v>1.7693174251628295E-3</v>
      </c>
      <c r="O84" s="298">
        <v>2.3683965026528521E-3</v>
      </c>
      <c r="P84" s="298">
        <v>2.2687748359132434E-3</v>
      </c>
      <c r="Q84" s="298">
        <v>3.2956893394252857E-3</v>
      </c>
      <c r="R84" s="298">
        <v>3.1845733198832878E-3</v>
      </c>
      <c r="S84" s="298">
        <v>3.1845733198832878E-3</v>
      </c>
      <c r="T84" s="298">
        <v>3.1845733198832878E-3</v>
      </c>
      <c r="U84" s="298">
        <v>3.1845733198832878E-3</v>
      </c>
    </row>
    <row r="85" spans="1:21" ht="14.4" x14ac:dyDescent="0.3">
      <c r="A85" s="43">
        <v>23</v>
      </c>
      <c r="B85" s="43"/>
      <c r="C85" s="1"/>
      <c r="D85" s="298">
        <v>14.111336248333169</v>
      </c>
      <c r="E85" s="298">
        <v>4.5502762773923147</v>
      </c>
      <c r="F85" s="298">
        <v>2.8173069900787024</v>
      </c>
      <c r="G85" s="298">
        <v>2.0670952688936821</v>
      </c>
      <c r="H85" s="298">
        <v>2.2928087910650583</v>
      </c>
      <c r="I85" s="298">
        <v>1.9472020944612196</v>
      </c>
      <c r="J85" s="298">
        <v>1.3645089433593613</v>
      </c>
      <c r="K85" s="298">
        <v>1.1709027163413299</v>
      </c>
      <c r="L85" s="298">
        <v>1.0449622436221531</v>
      </c>
      <c r="M85" s="298">
        <v>0.98668776275695924</v>
      </c>
      <c r="N85" s="298">
        <v>0.97151910927620677</v>
      </c>
      <c r="O85" s="298">
        <v>0.91499109629030073</v>
      </c>
      <c r="P85" s="298">
        <v>0.81941237005377587</v>
      </c>
      <c r="Q85" s="298">
        <v>0.64151011524075341</v>
      </c>
      <c r="R85" s="298">
        <v>0.64347399672352978</v>
      </c>
      <c r="S85" s="298">
        <v>0.64347399672352978</v>
      </c>
      <c r="T85" s="298">
        <v>0.64347399672352978</v>
      </c>
      <c r="U85" s="298">
        <v>0.64347399672352978</v>
      </c>
    </row>
    <row r="86" spans="1:21" ht="14.4" x14ac:dyDescent="0.3">
      <c r="A86" s="43">
        <v>24</v>
      </c>
      <c r="B86" s="43"/>
      <c r="C86" s="1"/>
      <c r="D86" s="298">
        <v>3.6824454901743818E-2</v>
      </c>
      <c r="E86" s="298">
        <v>9.8382681602157043E-3</v>
      </c>
      <c r="F86" s="298">
        <v>2.4869442257516557E-3</v>
      </c>
      <c r="G86" s="298">
        <v>3.7823320015961076E-3</v>
      </c>
      <c r="H86" s="298">
        <v>3.0035667733548503E-3</v>
      </c>
      <c r="I86" s="298">
        <v>5.3235417328994826E-3</v>
      </c>
      <c r="J86" s="298">
        <v>5.8116700278296428E-3</v>
      </c>
      <c r="K86" s="298">
        <v>2.9855222275943743E-3</v>
      </c>
      <c r="L86" s="298">
        <v>2.3272957918215429E-3</v>
      </c>
      <c r="M86" s="298">
        <v>3.1075268606800422E-3</v>
      </c>
      <c r="N86" s="298">
        <v>1.6642059470906843E-3</v>
      </c>
      <c r="O86" s="298">
        <v>5.0465814106315395E-4</v>
      </c>
      <c r="P86" s="298">
        <v>2.4652728971896356E-3</v>
      </c>
      <c r="Q86" s="298">
        <v>5.6815989694872823E-4</v>
      </c>
      <c r="R86" s="298">
        <v>2.910084521893625E-3</v>
      </c>
      <c r="S86" s="298">
        <v>2.910084521893625E-3</v>
      </c>
      <c r="T86" s="298">
        <v>2.910084521893625E-3</v>
      </c>
      <c r="U86" s="298">
        <v>2.910084521893625E-3</v>
      </c>
    </row>
    <row r="87" spans="1:21" ht="14.4" x14ac:dyDescent="0.3">
      <c r="A87" s="43">
        <v>25</v>
      </c>
      <c r="B87" s="43"/>
      <c r="C87" s="1"/>
      <c r="D87" s="298">
        <v>9.1460847189836905</v>
      </c>
      <c r="E87" s="298">
        <v>3.3287755929835949</v>
      </c>
      <c r="F87" s="298">
        <v>2.4769082641614584</v>
      </c>
      <c r="G87" s="298">
        <v>1.4065816239828657</v>
      </c>
      <c r="H87" s="298">
        <v>0.9812541545579192</v>
      </c>
      <c r="I87" s="298">
        <v>0.87516515937476913</v>
      </c>
      <c r="J87" s="298">
        <v>1.0203047520164361</v>
      </c>
      <c r="K87" s="298">
        <v>0.89181945133108653</v>
      </c>
      <c r="L87" s="298">
        <v>0.77335390981045959</v>
      </c>
      <c r="M87" s="298">
        <v>0.680943962179267</v>
      </c>
      <c r="N87" s="298">
        <v>0.60410783726699213</v>
      </c>
      <c r="O87" s="298">
        <v>0.59625159344747769</v>
      </c>
      <c r="P87" s="298">
        <v>0.57911197721694829</v>
      </c>
      <c r="Q87" s="298">
        <v>0.47588131924725879</v>
      </c>
      <c r="R87" s="298">
        <v>0.48332856078705327</v>
      </c>
      <c r="S87" s="298">
        <v>0.48332856078705327</v>
      </c>
      <c r="T87" s="298">
        <v>0.48332856078705327</v>
      </c>
      <c r="U87" s="298">
        <v>0.48332856078705327</v>
      </c>
    </row>
    <row r="88" spans="1:21" ht="14.4" x14ac:dyDescent="0.3">
      <c r="A88" s="43">
        <v>26</v>
      </c>
      <c r="B88" s="43"/>
      <c r="C88" s="1"/>
      <c r="D88" s="298">
        <v>5.0821504219815294E-2</v>
      </c>
      <c r="E88" s="298">
        <v>5.5062549483802257E-2</v>
      </c>
      <c r="F88" s="298">
        <v>2.6569838221547654E-2</v>
      </c>
      <c r="G88" s="298">
        <v>1.7180710354120391E-2</v>
      </c>
      <c r="H88" s="298">
        <v>1.4413765296386657E-2</v>
      </c>
      <c r="I88" s="298">
        <v>1.340051166752103E-2</v>
      </c>
      <c r="J88" s="298">
        <v>1.2261667576280695E-2</v>
      </c>
      <c r="K88" s="298">
        <v>1.1494261330574136E-2</v>
      </c>
      <c r="L88" s="298">
        <v>1.1502164549246671E-2</v>
      </c>
      <c r="M88" s="298">
        <v>6.3586835670058186E-3</v>
      </c>
      <c r="N88" s="298">
        <v>5.7283366829020497E-3</v>
      </c>
      <c r="O88" s="298">
        <v>1.4156391535011382E-3</v>
      </c>
      <c r="P88" s="298">
        <v>2.35923526977449E-3</v>
      </c>
      <c r="Q88" s="298">
        <v>3.048115692564884E-3</v>
      </c>
      <c r="R88" s="298">
        <v>2.505817916151253E-3</v>
      </c>
      <c r="S88" s="298">
        <v>2.505817916151253E-3</v>
      </c>
      <c r="T88" s="298">
        <v>2.505817916151253E-3</v>
      </c>
      <c r="U88" s="298">
        <v>2.505817916151253E-3</v>
      </c>
    </row>
    <row r="89" spans="1:21" ht="14.4" x14ac:dyDescent="0.3">
      <c r="A89" s="43">
        <v>27</v>
      </c>
      <c r="B89" s="43"/>
      <c r="C89" s="1"/>
      <c r="D89" s="298">
        <v>0.21238680360962095</v>
      </c>
      <c r="E89" s="298">
        <v>0.25707405179893289</v>
      </c>
      <c r="F89" s="298">
        <v>0.16073741316951387</v>
      </c>
      <c r="G89" s="298">
        <v>0.17380962651022741</v>
      </c>
      <c r="H89" s="298">
        <v>9.1193806224074303E-2</v>
      </c>
      <c r="I89" s="298">
        <v>0.33088372878460953</v>
      </c>
      <c r="J89" s="298">
        <v>0.40809218499146371</v>
      </c>
      <c r="K89" s="298">
        <v>0.28326195110267732</v>
      </c>
      <c r="L89" s="298">
        <v>0.20563582476045428</v>
      </c>
      <c r="M89" s="298">
        <v>0.15760505021576746</v>
      </c>
      <c r="N89" s="298">
        <v>9.9377043514666238E-2</v>
      </c>
      <c r="O89" s="298">
        <v>7.5391622206023953E-2</v>
      </c>
      <c r="P89" s="298">
        <v>6.8011485955306775E-2</v>
      </c>
      <c r="Q89" s="298">
        <v>5.56664765461901E-2</v>
      </c>
      <c r="R89" s="298">
        <v>5.3354821022066533E-2</v>
      </c>
      <c r="S89" s="298">
        <v>5.3354821022066533E-2</v>
      </c>
      <c r="T89" s="298">
        <v>5.3354821022066533E-2</v>
      </c>
      <c r="U89" s="298">
        <v>5.3354821022066533E-2</v>
      </c>
    </row>
    <row r="90" spans="1:21" ht="14.4" x14ac:dyDescent="0.3">
      <c r="A90" s="43">
        <v>28</v>
      </c>
      <c r="B90" s="43"/>
      <c r="C90" s="1"/>
      <c r="D90" s="298">
        <v>1.9392625777396737E-2</v>
      </c>
      <c r="E90" s="298">
        <v>4.7102518518670457E-2</v>
      </c>
      <c r="F90" s="298">
        <v>2.8971418661601897E-2</v>
      </c>
      <c r="G90" s="298">
        <v>1.1872541264805246E-2</v>
      </c>
      <c r="H90" s="298">
        <v>6.9611130983163278E-3</v>
      </c>
      <c r="I90" s="298">
        <v>8.5362681900183323E-3</v>
      </c>
      <c r="J90" s="298">
        <v>1.2556658041302614E-2</v>
      </c>
      <c r="K90" s="298">
        <v>1.0537656791068419E-2</v>
      </c>
      <c r="L90" s="298">
        <v>9.2930775732190107E-3</v>
      </c>
      <c r="M90" s="298">
        <v>3.3090135809581808E-3</v>
      </c>
      <c r="N90" s="298">
        <v>8.4429509332862738E-4</v>
      </c>
      <c r="O90" s="298">
        <v>1.7536756837702497E-3</v>
      </c>
      <c r="P90" s="298">
        <v>1.2486380283558422E-3</v>
      </c>
      <c r="Q90" s="298">
        <v>3.2293207653354824E-3</v>
      </c>
      <c r="R90" s="298">
        <v>2.7333925969108054E-3</v>
      </c>
      <c r="S90" s="298">
        <v>2.7333925969108054E-3</v>
      </c>
      <c r="T90" s="298">
        <v>2.7333925969108054E-3</v>
      </c>
      <c r="U90" s="298">
        <v>2.7333925969108054E-3</v>
      </c>
    </row>
    <row r="91" spans="1:21" ht="14.4" x14ac:dyDescent="0.3">
      <c r="A91" s="43">
        <v>29</v>
      </c>
      <c r="B91" s="43"/>
      <c r="C91" s="1"/>
      <c r="D91" s="298">
        <v>6.5146861253923207</v>
      </c>
      <c r="E91" s="298">
        <v>2.6788137999966111</v>
      </c>
      <c r="F91" s="298">
        <v>1.6106667515221753</v>
      </c>
      <c r="G91" s="298">
        <v>1.3975423047728013</v>
      </c>
      <c r="H91" s="298">
        <v>1.3999934630363924</v>
      </c>
      <c r="I91" s="298">
        <v>1.0907850218496227</v>
      </c>
      <c r="J91" s="298">
        <v>0.75870567381450926</v>
      </c>
      <c r="K91" s="298">
        <v>0.75678843679568575</v>
      </c>
      <c r="L91" s="298">
        <v>0.75575983296320848</v>
      </c>
      <c r="M91" s="298">
        <v>0.72478506133268517</v>
      </c>
      <c r="N91" s="298">
        <v>0.61840577400138186</v>
      </c>
      <c r="O91" s="298">
        <v>0.50578743449988961</v>
      </c>
      <c r="P91" s="298">
        <v>0.46727025134098182</v>
      </c>
      <c r="Q91" s="298">
        <v>0.45386743782930422</v>
      </c>
      <c r="R91" s="298">
        <v>0.4514293951690499</v>
      </c>
      <c r="S91" s="298">
        <v>0.4514293951690499</v>
      </c>
      <c r="T91" s="298">
        <v>0.4514293951690499</v>
      </c>
      <c r="U91" s="298">
        <v>0.4514293951690499</v>
      </c>
    </row>
    <row r="92" spans="1:21" ht="14.4" x14ac:dyDescent="0.3">
      <c r="A92" s="43">
        <v>30</v>
      </c>
      <c r="B92" s="43"/>
      <c r="C92" s="1"/>
      <c r="D92" s="298">
        <v>3.4884370898550648E-2</v>
      </c>
      <c r="E92" s="298">
        <v>4.1765772225850796E-3</v>
      </c>
      <c r="F92" s="298">
        <v>3.1945642193693534E-3</v>
      </c>
      <c r="G92" s="298">
        <v>3.60287707209932E-3</v>
      </c>
      <c r="H92" s="298">
        <v>3.2920300374340902E-3</v>
      </c>
      <c r="I92" s="298">
        <v>5.0314868423076246E-3</v>
      </c>
      <c r="J92" s="298">
        <v>4.6053075814346854E-3</v>
      </c>
      <c r="K92" s="298">
        <v>3.6991571943863818E-3</v>
      </c>
      <c r="L92" s="298">
        <v>1.9564019833816105E-3</v>
      </c>
      <c r="M92" s="298">
        <v>2.8717553777810353E-3</v>
      </c>
      <c r="N92" s="298">
        <v>2.6821760992090326E-3</v>
      </c>
      <c r="O92" s="298">
        <v>5.3985110846739104E-4</v>
      </c>
      <c r="P92" s="298">
        <v>8.6189772740157076E-4</v>
      </c>
      <c r="Q92" s="298">
        <v>7.0587971191137216E-4</v>
      </c>
      <c r="R92" s="298">
        <v>2.5967183728580682E-3</v>
      </c>
      <c r="S92" s="298">
        <v>2.5967183728580682E-3</v>
      </c>
      <c r="T92" s="298">
        <v>2.5967183728580682E-3</v>
      </c>
      <c r="U92" s="298">
        <v>2.5967183728580682E-3</v>
      </c>
    </row>
    <row r="93" spans="1:21" ht="14.4" x14ac:dyDescent="0.3">
      <c r="A93" s="43">
        <v>31</v>
      </c>
      <c r="B93" s="43"/>
      <c r="C93" s="1"/>
      <c r="D93" s="298">
        <v>6.3339107327432735</v>
      </c>
      <c r="E93" s="298">
        <v>2.4858685050570775</v>
      </c>
      <c r="F93" s="298">
        <v>1.4322222537619056</v>
      </c>
      <c r="G93" s="298">
        <v>0.82280279165842463</v>
      </c>
      <c r="H93" s="298">
        <v>0.68512353629472578</v>
      </c>
      <c r="I93" s="298">
        <v>0.58112005814292844</v>
      </c>
      <c r="J93" s="298">
        <v>0.56772740214173922</v>
      </c>
      <c r="K93" s="298">
        <v>0.46221863452787271</v>
      </c>
      <c r="L93" s="298">
        <v>0.42486576546865334</v>
      </c>
      <c r="M93" s="298">
        <v>0.43056874893088998</v>
      </c>
      <c r="N93" s="298">
        <v>0.43268010175951643</v>
      </c>
      <c r="O93" s="298">
        <v>0.37617527613812002</v>
      </c>
      <c r="P93" s="298">
        <v>0.31678577460681751</v>
      </c>
      <c r="Q93" s="298">
        <v>0.30877008317967913</v>
      </c>
      <c r="R93" s="298">
        <v>0.3120658886678041</v>
      </c>
      <c r="S93" s="298">
        <v>0.3120658886678041</v>
      </c>
      <c r="T93" s="298">
        <v>0.3120658886678041</v>
      </c>
      <c r="U93" s="298">
        <v>0.3120658886678041</v>
      </c>
    </row>
    <row r="94" spans="1:21" ht="14.4" x14ac:dyDescent="0.3">
      <c r="A94" s="43">
        <v>32</v>
      </c>
      <c r="B94" s="43"/>
      <c r="C94" s="1"/>
      <c r="D94" s="298">
        <v>4.6506205535545839E-2</v>
      </c>
      <c r="E94" s="298">
        <v>3.3260518350729629E-2</v>
      </c>
      <c r="F94" s="298">
        <v>2.9586195514357663E-2</v>
      </c>
      <c r="G94" s="298">
        <v>1.9535797704362808E-2</v>
      </c>
      <c r="H94" s="298">
        <v>1.4563606306652922E-2</v>
      </c>
      <c r="I94" s="298">
        <v>1.305927336868163E-2</v>
      </c>
      <c r="J94" s="298">
        <v>8.8970610246392086E-3</v>
      </c>
      <c r="K94" s="298">
        <v>1.1901375104307985E-2</v>
      </c>
      <c r="L94" s="298">
        <v>1.1921658515740853E-2</v>
      </c>
      <c r="M94" s="298">
        <v>5.9187663071225798E-3</v>
      </c>
      <c r="N94" s="298">
        <v>4.587462629749072E-3</v>
      </c>
      <c r="O94" s="298">
        <v>1.2699646308248702E-3</v>
      </c>
      <c r="P94" s="298">
        <v>2.2444292602197963E-3</v>
      </c>
      <c r="Q94" s="298">
        <v>2.8384966763810126E-3</v>
      </c>
      <c r="R94" s="298">
        <v>2.9287371239286731E-3</v>
      </c>
      <c r="S94" s="298">
        <v>2.9287371239286731E-3</v>
      </c>
      <c r="T94" s="298">
        <v>2.9287371239286731E-3</v>
      </c>
      <c r="U94" s="298">
        <v>2.9287371239286731E-3</v>
      </c>
    </row>
    <row r="95" spans="1:21" ht="14.4" x14ac:dyDescent="0.3">
      <c r="A95" s="43">
        <v>33</v>
      </c>
      <c r="B95" s="43"/>
      <c r="C95" s="1"/>
      <c r="D95" s="298">
        <v>0.30274927892914244</v>
      </c>
      <c r="E95" s="298">
        <v>1.7216657169820748E-2</v>
      </c>
      <c r="F95" s="298">
        <v>0.12233571605865014</v>
      </c>
      <c r="G95" s="298">
        <v>0.13605621192601108</v>
      </c>
      <c r="H95" s="298">
        <v>7.0763148414675126E-2</v>
      </c>
      <c r="I95" s="298">
        <v>0.26563628264177047</v>
      </c>
      <c r="J95" s="298">
        <v>0.34165566585023771</v>
      </c>
      <c r="K95" s="298">
        <v>0.22742267911109676</v>
      </c>
      <c r="L95" s="298">
        <v>0.15381673439332844</v>
      </c>
      <c r="M95" s="298">
        <v>0.11558930646976719</v>
      </c>
      <c r="N95" s="298">
        <v>8.4151409301761251E-2</v>
      </c>
      <c r="O95" s="298">
        <v>6.7503639523961864E-2</v>
      </c>
      <c r="P95" s="298">
        <v>5.6413371607669127E-2</v>
      </c>
      <c r="Q95" s="298">
        <v>4.1647697018963321E-2</v>
      </c>
      <c r="R95" s="298">
        <v>3.9799798597555773E-2</v>
      </c>
      <c r="S95" s="298">
        <v>3.9799798597555773E-2</v>
      </c>
      <c r="T95" s="298">
        <v>3.9799798597555773E-2</v>
      </c>
      <c r="U95" s="298">
        <v>3.9799798597555773E-2</v>
      </c>
    </row>
    <row r="96" spans="1:21" ht="14.4" x14ac:dyDescent="0.3">
      <c r="A96" s="43">
        <v>34</v>
      </c>
      <c r="B96" s="43"/>
      <c r="C96" s="1"/>
      <c r="D96" s="298">
        <v>0.15658261184107439</v>
      </c>
      <c r="E96" s="298">
        <v>6.9206297258360139E-2</v>
      </c>
      <c r="F96" s="298">
        <v>0.11719738000471913</v>
      </c>
      <c r="G96" s="298">
        <v>9.0950515996728487E-2</v>
      </c>
      <c r="H96" s="298">
        <v>5.6069430808107633E-2</v>
      </c>
      <c r="I96" s="298">
        <v>0.18457651004529252</v>
      </c>
      <c r="J96" s="298">
        <v>0.21861320828195963</v>
      </c>
      <c r="K96" s="298">
        <v>0.14805460867942424</v>
      </c>
      <c r="L96" s="298">
        <v>0.10865726471480185</v>
      </c>
      <c r="M96" s="298">
        <v>8.7921961526698345E-2</v>
      </c>
      <c r="N96" s="298">
        <v>5.8256465500538285E-2</v>
      </c>
      <c r="O96" s="298">
        <v>4.4253058727944716E-2</v>
      </c>
      <c r="P96" s="298">
        <v>3.9509788445304235E-2</v>
      </c>
      <c r="Q96" s="298">
        <v>2.9542651780987427E-2</v>
      </c>
      <c r="R96" s="298">
        <v>2.8071591122090556E-2</v>
      </c>
      <c r="S96" s="298">
        <v>2.8071591122090556E-2</v>
      </c>
      <c r="T96" s="298">
        <v>2.8071591122090556E-2</v>
      </c>
      <c r="U96" s="298">
        <v>2.8071591122090556E-2</v>
      </c>
    </row>
    <row r="97" spans="1:21" ht="14.4" x14ac:dyDescent="0.3">
      <c r="A97" s="43">
        <v>35</v>
      </c>
      <c r="B97" s="43"/>
      <c r="C97" s="1"/>
      <c r="D97" s="298">
        <v>5.9029852258662023</v>
      </c>
      <c r="E97" s="298">
        <v>1.4733260588243429</v>
      </c>
      <c r="F97" s="298">
        <v>1.2803616292235322</v>
      </c>
      <c r="G97" s="298">
        <v>1.0290257258239199</v>
      </c>
      <c r="H97" s="298">
        <v>0.95078684693100002</v>
      </c>
      <c r="I97" s="298">
        <v>0.68755518357204037</v>
      </c>
      <c r="J97" s="298">
        <v>0.51648077967213191</v>
      </c>
      <c r="K97" s="298">
        <v>0.5658478637815777</v>
      </c>
      <c r="L97" s="298">
        <v>0.55172205299175037</v>
      </c>
      <c r="M97" s="298">
        <v>0.48796466250698262</v>
      </c>
      <c r="N97" s="298">
        <v>0.39029335703643686</v>
      </c>
      <c r="O97" s="298">
        <v>0.36343466624775511</v>
      </c>
      <c r="P97" s="298">
        <v>0.35166631128246867</v>
      </c>
      <c r="Q97" s="298">
        <v>0.28545240285608292</v>
      </c>
      <c r="R97" s="298">
        <v>0.28281840150514814</v>
      </c>
      <c r="S97" s="298">
        <v>0.28281840150514814</v>
      </c>
      <c r="T97" s="298">
        <v>0.28281840150514814</v>
      </c>
      <c r="U97" s="298">
        <v>0.28281840150514814</v>
      </c>
    </row>
    <row r="98" spans="1:21" ht="14.4" x14ac:dyDescent="0.3">
      <c r="A98" s="43">
        <v>36</v>
      </c>
      <c r="B98" s="43"/>
      <c r="C98" s="1"/>
      <c r="D98" s="298">
        <v>0.15658261184107439</v>
      </c>
      <c r="E98" s="298">
        <v>6.9206297258360139E-2</v>
      </c>
      <c r="F98" s="298">
        <v>0.11719738000471913</v>
      </c>
      <c r="G98" s="298">
        <v>9.0950515996728487E-2</v>
      </c>
      <c r="H98" s="298">
        <v>5.6069430808107633E-2</v>
      </c>
      <c r="I98" s="298">
        <v>0.18457651004529252</v>
      </c>
      <c r="J98" s="298">
        <v>0.21861320828195963</v>
      </c>
      <c r="K98" s="298">
        <v>0.14805460867942424</v>
      </c>
      <c r="L98" s="298">
        <v>0.10865726471480185</v>
      </c>
      <c r="M98" s="298">
        <v>8.7921961526698345E-2</v>
      </c>
      <c r="N98" s="298">
        <v>5.8256465500538285E-2</v>
      </c>
      <c r="O98" s="298">
        <v>4.4253058727944716E-2</v>
      </c>
      <c r="P98" s="298">
        <v>3.9509788445304235E-2</v>
      </c>
      <c r="Q98" s="298">
        <v>2.9542651780987427E-2</v>
      </c>
      <c r="R98" s="298">
        <v>2.8071591122090556E-2</v>
      </c>
      <c r="S98" s="298">
        <v>2.8071591122090556E-2</v>
      </c>
      <c r="T98" s="298">
        <v>2.8071591122090556E-2</v>
      </c>
      <c r="U98" s="298">
        <v>2.8071591122090556E-2</v>
      </c>
    </row>
    <row r="99" spans="1:21" ht="14.4" x14ac:dyDescent="0.3">
      <c r="A99" s="43">
        <v>37</v>
      </c>
      <c r="B99" s="43"/>
      <c r="C99" s="1"/>
      <c r="D99" s="298">
        <v>4.7242605294817244</v>
      </c>
      <c r="E99" s="298">
        <v>1.4147795985274163</v>
      </c>
      <c r="F99" s="298">
        <v>0.86563302172429457</v>
      </c>
      <c r="G99" s="298">
        <v>0.58792408051231626</v>
      </c>
      <c r="H99" s="298">
        <v>0.44571284137714501</v>
      </c>
      <c r="I99" s="298">
        <v>0.35071388358174704</v>
      </c>
      <c r="J99" s="298">
        <v>0.34192356461046053</v>
      </c>
      <c r="K99" s="298">
        <v>0.32136315457507253</v>
      </c>
      <c r="L99" s="298">
        <v>0.32334277343163409</v>
      </c>
      <c r="M99" s="298">
        <v>0.31458122808120276</v>
      </c>
      <c r="N99" s="298">
        <v>0.26038899134139826</v>
      </c>
      <c r="O99" s="298">
        <v>0.23293659142238254</v>
      </c>
      <c r="P99" s="298">
        <v>0.23495243567481122</v>
      </c>
      <c r="Q99" s="298">
        <v>0.1983093021126322</v>
      </c>
      <c r="R99" s="298">
        <v>0.19995839901366486</v>
      </c>
      <c r="S99" s="298">
        <v>0.19995839901366486</v>
      </c>
      <c r="T99" s="298">
        <v>0.19995839901366486</v>
      </c>
      <c r="U99" s="298">
        <v>0.19995839901366486</v>
      </c>
    </row>
    <row r="100" spans="1:21" ht="14.4" x14ac:dyDescent="0.3">
      <c r="A100" s="43">
        <v>38</v>
      </c>
      <c r="B100" s="43"/>
      <c r="C100" s="1"/>
      <c r="D100" s="298">
        <v>0.15658261184107439</v>
      </c>
      <c r="E100" s="298">
        <v>6.9206297258360139E-2</v>
      </c>
      <c r="F100" s="298">
        <v>0.11719738000471913</v>
      </c>
      <c r="G100" s="298">
        <v>9.0950515996728487E-2</v>
      </c>
      <c r="H100" s="298">
        <v>5.6069430808107633E-2</v>
      </c>
      <c r="I100" s="298">
        <v>0.18457651004529252</v>
      </c>
      <c r="J100" s="298">
        <v>0.21861320828195963</v>
      </c>
      <c r="K100" s="298">
        <v>0.14805460867942424</v>
      </c>
      <c r="L100" s="298">
        <v>0.10865726471480185</v>
      </c>
      <c r="M100" s="298">
        <v>8.7921961526698345E-2</v>
      </c>
      <c r="N100" s="298">
        <v>5.8256465500538285E-2</v>
      </c>
      <c r="O100" s="298">
        <v>4.4253058727944716E-2</v>
      </c>
      <c r="P100" s="298">
        <v>3.9509788445304235E-2</v>
      </c>
      <c r="Q100" s="298">
        <v>2.9542651780987427E-2</v>
      </c>
      <c r="R100" s="298">
        <v>2.8071591122090556E-2</v>
      </c>
      <c r="S100" s="298">
        <v>2.8071591122090556E-2</v>
      </c>
      <c r="T100" s="298">
        <v>2.8071591122090556E-2</v>
      </c>
      <c r="U100" s="298">
        <v>2.8071591122090556E-2</v>
      </c>
    </row>
    <row r="101" spans="1:21" ht="14.4" x14ac:dyDescent="0.3">
      <c r="A101" s="43">
        <v>39</v>
      </c>
      <c r="B101" s="43"/>
      <c r="C101" s="1"/>
      <c r="D101" s="298">
        <v>0.2079850899943797</v>
      </c>
      <c r="E101" s="298">
        <v>0.13041647508011303</v>
      </c>
      <c r="F101" s="298">
        <v>0.12947509110634475</v>
      </c>
      <c r="G101" s="298">
        <v>0.11009404781577684</v>
      </c>
      <c r="H101" s="298">
        <v>6.014929527512837E-2</v>
      </c>
      <c r="I101" s="298">
        <v>0.21949671273146126</v>
      </c>
      <c r="J101" s="298">
        <v>0.27640701454444089</v>
      </c>
      <c r="K101" s="298">
        <v>0.17818419975534588</v>
      </c>
      <c r="L101" s="298">
        <v>0.12256174642203793</v>
      </c>
      <c r="M101" s="298">
        <v>9.8387203409769475E-2</v>
      </c>
      <c r="N101" s="298">
        <v>7.1958024598108364E-2</v>
      </c>
      <c r="O101" s="298">
        <v>5.1366620792552581E-2</v>
      </c>
      <c r="P101" s="298">
        <v>4.2850088405828553E-2</v>
      </c>
      <c r="Q101" s="298">
        <v>3.5922322150466021E-2</v>
      </c>
      <c r="R101" s="298">
        <v>3.4556391879303032E-2</v>
      </c>
      <c r="S101" s="298">
        <v>3.4556391879303032E-2</v>
      </c>
      <c r="T101" s="298">
        <v>3.4556391879303032E-2</v>
      </c>
      <c r="U101" s="298">
        <v>3.4556391879303032E-2</v>
      </c>
    </row>
    <row r="102" spans="1:21" ht="14.4" x14ac:dyDescent="0.3">
      <c r="A102" s="43">
        <v>40</v>
      </c>
      <c r="B102" s="43"/>
      <c r="C102" s="1"/>
      <c r="D102" s="298">
        <v>0.15658261184107439</v>
      </c>
      <c r="E102" s="298">
        <v>6.9206297258360139E-2</v>
      </c>
      <c r="F102" s="298">
        <v>0.11719738000471913</v>
      </c>
      <c r="G102" s="298">
        <v>9.0950515996728487E-2</v>
      </c>
      <c r="H102" s="298">
        <v>5.6069430808107633E-2</v>
      </c>
      <c r="I102" s="298">
        <v>0.18457651004529252</v>
      </c>
      <c r="J102" s="298">
        <v>0.21861320828195963</v>
      </c>
      <c r="K102" s="298">
        <v>0.14805460867942424</v>
      </c>
      <c r="L102" s="298">
        <v>0.10865726471480185</v>
      </c>
      <c r="M102" s="298">
        <v>8.7921961526698345E-2</v>
      </c>
      <c r="N102" s="298">
        <v>5.8256465500538285E-2</v>
      </c>
      <c r="O102" s="298">
        <v>4.4253058727944716E-2</v>
      </c>
      <c r="P102" s="298">
        <v>3.9509788445304235E-2</v>
      </c>
      <c r="Q102" s="298">
        <v>2.9542651780987427E-2</v>
      </c>
      <c r="R102" s="298">
        <v>2.8071591122090556E-2</v>
      </c>
      <c r="S102" s="298">
        <v>2.8071591122090556E-2</v>
      </c>
      <c r="T102" s="298">
        <v>2.8071591122090556E-2</v>
      </c>
      <c r="U102" s="298">
        <v>2.8071591122090556E-2</v>
      </c>
    </row>
    <row r="103" spans="1:21" ht="14.4" x14ac:dyDescent="0.3">
      <c r="A103" s="43">
        <v>41</v>
      </c>
      <c r="B103" s="43"/>
      <c r="C103" s="1"/>
      <c r="D103" s="298">
        <v>2.9593523720748518</v>
      </c>
      <c r="E103" s="298">
        <v>1.3960448536050045</v>
      </c>
      <c r="F103" s="298">
        <v>0.9788469484846104</v>
      </c>
      <c r="G103" s="298">
        <v>0.76626902234982497</v>
      </c>
      <c r="H103" s="298">
        <v>0.64986432358583057</v>
      </c>
      <c r="I103" s="298">
        <v>0.49479101470748305</v>
      </c>
      <c r="J103" s="298">
        <v>0.39951328972932304</v>
      </c>
      <c r="K103" s="298">
        <v>0.41594580564321404</v>
      </c>
      <c r="L103" s="298">
        <v>0.37579029347140652</v>
      </c>
      <c r="M103" s="298">
        <v>0.32440122806902955</v>
      </c>
      <c r="N103" s="298">
        <v>0.30529874652047795</v>
      </c>
      <c r="O103" s="298">
        <v>0.272856325769609</v>
      </c>
      <c r="P103" s="298">
        <v>0.23528249165808171</v>
      </c>
      <c r="Q103" s="298">
        <v>0.21930268062364178</v>
      </c>
      <c r="R103" s="298">
        <v>0.21942223358685053</v>
      </c>
      <c r="S103" s="298">
        <v>0.21942223358685053</v>
      </c>
      <c r="T103" s="298">
        <v>0.21942223358685053</v>
      </c>
      <c r="U103" s="298">
        <v>0.21942223358685053</v>
      </c>
    </row>
    <row r="104" spans="1:21" ht="14.4" x14ac:dyDescent="0.3">
      <c r="A104" s="43">
        <v>42</v>
      </c>
      <c r="B104" s="43"/>
      <c r="C104" s="1"/>
      <c r="D104" s="298">
        <v>0.15658261184107439</v>
      </c>
      <c r="E104" s="298">
        <v>6.9206297258360139E-2</v>
      </c>
      <c r="F104" s="298">
        <v>0.11719738000471913</v>
      </c>
      <c r="G104" s="298">
        <v>9.0950515996728487E-2</v>
      </c>
      <c r="H104" s="298">
        <v>5.6069430808107633E-2</v>
      </c>
      <c r="I104" s="298">
        <v>0.18457651004529252</v>
      </c>
      <c r="J104" s="298">
        <v>0.21861320828195963</v>
      </c>
      <c r="K104" s="298">
        <v>0.14805460867942424</v>
      </c>
      <c r="L104" s="298">
        <v>0.10865726471480185</v>
      </c>
      <c r="M104" s="298">
        <v>8.7921961526698345E-2</v>
      </c>
      <c r="N104" s="298">
        <v>5.8256465500538285E-2</v>
      </c>
      <c r="O104" s="298">
        <v>4.4253058727944716E-2</v>
      </c>
      <c r="P104" s="298">
        <v>3.9509788445304235E-2</v>
      </c>
      <c r="Q104" s="298">
        <v>2.9542651780987427E-2</v>
      </c>
      <c r="R104" s="298">
        <v>2.8071591122090556E-2</v>
      </c>
      <c r="S104" s="298">
        <v>2.8071591122090556E-2</v>
      </c>
      <c r="T104" s="298">
        <v>2.8071591122090556E-2</v>
      </c>
      <c r="U104" s="298">
        <v>2.8071591122090556E-2</v>
      </c>
    </row>
    <row r="105" spans="1:21" ht="14.4" x14ac:dyDescent="0.3">
      <c r="A105" s="43">
        <v>43</v>
      </c>
      <c r="B105" s="43"/>
      <c r="C105" s="1"/>
      <c r="D105" s="298">
        <v>2.2178560512821952</v>
      </c>
      <c r="E105" s="298">
        <v>1.1905972320783262</v>
      </c>
      <c r="F105" s="298">
        <v>0.75615175660327605</v>
      </c>
      <c r="G105" s="298">
        <v>0.45362551647456517</v>
      </c>
      <c r="H105" s="298">
        <v>0.28528173727691464</v>
      </c>
      <c r="I105" s="298">
        <v>0.21779752656057286</v>
      </c>
      <c r="J105" s="298">
        <v>0.25538951981730396</v>
      </c>
      <c r="K105" s="298">
        <v>0.24818871965708805</v>
      </c>
      <c r="L105" s="298">
        <v>0.22308863199724832</v>
      </c>
      <c r="M105" s="298">
        <v>0.19779080449305989</v>
      </c>
      <c r="N105" s="298">
        <v>0.1877023014843526</v>
      </c>
      <c r="O105" s="298">
        <v>0.18024721970812474</v>
      </c>
      <c r="P105" s="298">
        <v>0.14969356494618877</v>
      </c>
      <c r="Q105" s="298">
        <v>0.15402172112964774</v>
      </c>
      <c r="R105" s="298">
        <v>0.14788153997371078</v>
      </c>
      <c r="S105" s="298">
        <v>0.14788153997371078</v>
      </c>
      <c r="T105" s="298">
        <v>0.14788153997371078</v>
      </c>
      <c r="U105" s="298">
        <v>0.14788153997371078</v>
      </c>
    </row>
    <row r="106" spans="1:21" ht="14.4" x14ac:dyDescent="0.3">
      <c r="A106" s="43">
        <v>44</v>
      </c>
      <c r="B106" s="43"/>
      <c r="C106" s="1"/>
      <c r="D106" s="298">
        <v>0.15658261184107439</v>
      </c>
      <c r="E106" s="298">
        <v>6.9206297258360139E-2</v>
      </c>
      <c r="F106" s="298">
        <v>0.11719738000471913</v>
      </c>
      <c r="G106" s="298">
        <v>9.0950515996728487E-2</v>
      </c>
      <c r="H106" s="298">
        <v>5.6069430808107633E-2</v>
      </c>
      <c r="I106" s="298">
        <v>0.18457651004529252</v>
      </c>
      <c r="J106" s="298">
        <v>0.21861320828195963</v>
      </c>
      <c r="K106" s="298">
        <v>0.14805460867942424</v>
      </c>
      <c r="L106" s="298">
        <v>0.10865726471480185</v>
      </c>
      <c r="M106" s="298">
        <v>8.7921961526698345E-2</v>
      </c>
      <c r="N106" s="298">
        <v>5.8256465500538285E-2</v>
      </c>
      <c r="O106" s="298">
        <v>4.4253058727944716E-2</v>
      </c>
      <c r="P106" s="298">
        <v>3.9509788445304235E-2</v>
      </c>
      <c r="Q106" s="298">
        <v>2.9542651780987427E-2</v>
      </c>
      <c r="R106" s="298">
        <v>2.8071591122090556E-2</v>
      </c>
      <c r="S106" s="298">
        <v>2.8071591122090556E-2</v>
      </c>
      <c r="T106" s="298">
        <v>2.8071591122090556E-2</v>
      </c>
      <c r="U106" s="298">
        <v>2.8071591122090556E-2</v>
      </c>
    </row>
    <row r="107" spans="1:21" ht="14.4" x14ac:dyDescent="0.3">
      <c r="A107" s="43">
        <v>45</v>
      </c>
      <c r="B107" s="43"/>
      <c r="C107" s="1"/>
      <c r="D107" s="298">
        <v>0.15674381381219379</v>
      </c>
      <c r="E107" s="298">
        <v>6.9135515452953725E-2</v>
      </c>
      <c r="F107" s="298">
        <v>0.11721931861181524</v>
      </c>
      <c r="G107" s="298">
        <v>9.0976276916425139E-2</v>
      </c>
      <c r="H107" s="298">
        <v>5.5974795488511517E-2</v>
      </c>
      <c r="I107" s="298">
        <v>0.18455139999068912</v>
      </c>
      <c r="J107" s="298">
        <v>0.21866515563030009</v>
      </c>
      <c r="K107" s="298">
        <v>0.14808361462956454</v>
      </c>
      <c r="L107" s="298">
        <v>0.10867252849450271</v>
      </c>
      <c r="M107" s="298">
        <v>8.7932880027034033E-2</v>
      </c>
      <c r="N107" s="298">
        <v>5.8261619608528936E-2</v>
      </c>
      <c r="O107" s="298">
        <v>4.4254803859095013E-2</v>
      </c>
      <c r="P107" s="298">
        <v>3.9511622355493263E-2</v>
      </c>
      <c r="Q107" s="298">
        <v>2.9543012509050892E-2</v>
      </c>
      <c r="R107" s="298">
        <v>2.8071590865564936E-2</v>
      </c>
      <c r="S107" s="298">
        <v>2.8071590865564936E-2</v>
      </c>
      <c r="T107" s="298">
        <v>2.8071590865564936E-2</v>
      </c>
      <c r="U107" s="298">
        <v>2.8071590865564936E-2</v>
      </c>
    </row>
    <row r="108" spans="1:21" ht="14.4" x14ac:dyDescent="0.3">
      <c r="A108" s="43">
        <v>46</v>
      </c>
      <c r="B108" s="43"/>
      <c r="C108" s="1"/>
      <c r="D108" s="298">
        <v>0.15658261184107439</v>
      </c>
      <c r="E108" s="298">
        <v>6.9206297258360139E-2</v>
      </c>
      <c r="F108" s="298">
        <v>0.11719738000471913</v>
      </c>
      <c r="G108" s="298">
        <v>9.0950515996728487E-2</v>
      </c>
      <c r="H108" s="298">
        <v>5.6069430808107633E-2</v>
      </c>
      <c r="I108" s="298">
        <v>0.18457651004529252</v>
      </c>
      <c r="J108" s="298">
        <v>0.21861320828195963</v>
      </c>
      <c r="K108" s="298">
        <v>0.14805460867942424</v>
      </c>
      <c r="L108" s="298">
        <v>0.10865726471480185</v>
      </c>
      <c r="M108" s="298">
        <v>8.7921961526698345E-2</v>
      </c>
      <c r="N108" s="298">
        <v>5.8256465500538285E-2</v>
      </c>
      <c r="O108" s="298">
        <v>4.4253058727944716E-2</v>
      </c>
      <c r="P108" s="298">
        <v>3.9509788445304235E-2</v>
      </c>
      <c r="Q108" s="298">
        <v>2.9542651780987427E-2</v>
      </c>
      <c r="R108" s="298">
        <v>2.8071591122090556E-2</v>
      </c>
      <c r="S108" s="298">
        <v>2.8071591122090556E-2</v>
      </c>
      <c r="T108" s="298">
        <v>2.8071591122090556E-2</v>
      </c>
      <c r="U108" s="298">
        <v>2.8071591122090556E-2</v>
      </c>
    </row>
    <row r="109" spans="1:21" ht="14.4" x14ac:dyDescent="0.3">
      <c r="A109" s="43">
        <v>47</v>
      </c>
      <c r="B109" s="43"/>
      <c r="C109" s="1"/>
      <c r="D109" s="298">
        <v>2.3268630691236321</v>
      </c>
      <c r="E109" s="298">
        <v>0.78641478977548207</v>
      </c>
      <c r="F109" s="298">
        <v>0.65683719239534155</v>
      </c>
      <c r="G109" s="298">
        <v>0.58143321676267457</v>
      </c>
      <c r="H109" s="298">
        <v>0.44928960665019158</v>
      </c>
      <c r="I109" s="298">
        <v>0.41294151992551731</v>
      </c>
      <c r="J109" s="298">
        <v>0.2940568330031525</v>
      </c>
      <c r="K109" s="298">
        <v>0.2786885915405366</v>
      </c>
      <c r="L109" s="298">
        <v>0.26697263616116279</v>
      </c>
      <c r="M109" s="298">
        <v>0.26064585390490097</v>
      </c>
      <c r="N109" s="298">
        <v>0.2367936036530196</v>
      </c>
      <c r="O109" s="298">
        <v>0.19038468562778788</v>
      </c>
      <c r="P109" s="298">
        <v>0.18456070692514012</v>
      </c>
      <c r="Q109" s="298">
        <v>0.16108516476637483</v>
      </c>
      <c r="R109" s="298">
        <v>0.15522073313539117</v>
      </c>
      <c r="S109" s="298">
        <v>0.15522073313539117</v>
      </c>
      <c r="T109" s="298">
        <v>0.15522073313539117</v>
      </c>
      <c r="U109" s="298">
        <v>0.15522073313539117</v>
      </c>
    </row>
    <row r="110" spans="1:21" ht="14.4" x14ac:dyDescent="0.3">
      <c r="A110" s="43">
        <v>48</v>
      </c>
      <c r="B110" s="43"/>
      <c r="C110" s="1"/>
      <c r="D110" s="298">
        <v>0.15658261184107439</v>
      </c>
      <c r="E110" s="298">
        <v>6.9206297258360139E-2</v>
      </c>
      <c r="F110" s="298">
        <v>0.11719738000471913</v>
      </c>
      <c r="G110" s="298">
        <v>9.0950515996728487E-2</v>
      </c>
      <c r="H110" s="298">
        <v>5.6069430808107633E-2</v>
      </c>
      <c r="I110" s="298">
        <v>0.18457651004529252</v>
      </c>
      <c r="J110" s="298">
        <v>0.21861320828195963</v>
      </c>
      <c r="K110" s="298">
        <v>0.14805460867942424</v>
      </c>
      <c r="L110" s="298">
        <v>0.10865726471480185</v>
      </c>
      <c r="M110" s="298">
        <v>8.7921961526698345E-2</v>
      </c>
      <c r="N110" s="298">
        <v>5.8256465500538285E-2</v>
      </c>
      <c r="O110" s="298">
        <v>4.4253058727944716E-2</v>
      </c>
      <c r="P110" s="298">
        <v>3.9509788445304235E-2</v>
      </c>
      <c r="Q110" s="298">
        <v>2.9542651780987427E-2</v>
      </c>
      <c r="R110" s="298">
        <v>2.8071591122090556E-2</v>
      </c>
      <c r="S110" s="298">
        <v>2.8071591122090556E-2</v>
      </c>
      <c r="T110" s="298">
        <v>2.8071591122090556E-2</v>
      </c>
      <c r="U110" s="298">
        <v>2.8071591122090556E-2</v>
      </c>
    </row>
    <row r="111" spans="1:21" ht="14.4" x14ac:dyDescent="0.3">
      <c r="A111" s="43">
        <v>49</v>
      </c>
      <c r="B111" s="43"/>
      <c r="C111" s="1"/>
      <c r="D111" s="298">
        <v>2.222090686942058</v>
      </c>
      <c r="E111" s="298">
        <v>0.8231320290067401</v>
      </c>
      <c r="F111" s="298">
        <v>0.54372728367538525</v>
      </c>
      <c r="G111" s="298">
        <v>0.33388586731319231</v>
      </c>
      <c r="H111" s="298">
        <v>0.20472977887589594</v>
      </c>
      <c r="I111" s="298">
        <v>0.16067909526322774</v>
      </c>
      <c r="J111" s="298">
        <v>0.19635848943192444</v>
      </c>
      <c r="K111" s="298">
        <v>0.18022284651166184</v>
      </c>
      <c r="L111" s="298">
        <v>0.15241194609444156</v>
      </c>
      <c r="M111" s="298">
        <v>0.14568078669873447</v>
      </c>
      <c r="N111" s="298">
        <v>0.14316623416465049</v>
      </c>
      <c r="O111" s="298">
        <v>0.11820986355275069</v>
      </c>
      <c r="P111" s="298">
        <v>0.11324661442841535</v>
      </c>
      <c r="Q111" s="298">
        <v>0.10591950094820782</v>
      </c>
      <c r="R111" s="298">
        <v>0.10181373046970461</v>
      </c>
      <c r="S111" s="298">
        <v>0.10181373046970461</v>
      </c>
      <c r="T111" s="298">
        <v>0.10181373046970461</v>
      </c>
      <c r="U111" s="298">
        <v>0.10181373046970461</v>
      </c>
    </row>
    <row r="112" spans="1:21" ht="14.4" x14ac:dyDescent="0.3">
      <c r="A112" s="43">
        <v>50</v>
      </c>
      <c r="B112" s="43"/>
      <c r="C112" s="1"/>
      <c r="D112" s="298">
        <v>0.15658261184107439</v>
      </c>
      <c r="E112" s="298">
        <v>6.9206297258360139E-2</v>
      </c>
      <c r="F112" s="298">
        <v>0.11719738000471913</v>
      </c>
      <c r="G112" s="298">
        <v>9.0950515996728487E-2</v>
      </c>
      <c r="H112" s="298">
        <v>5.6069430808107633E-2</v>
      </c>
      <c r="I112" s="298">
        <v>0.18457651004529252</v>
      </c>
      <c r="J112" s="298">
        <v>0.21861320828195963</v>
      </c>
      <c r="K112" s="298">
        <v>0.14805460867942424</v>
      </c>
      <c r="L112" s="298">
        <v>0.10865726471480185</v>
      </c>
      <c r="M112" s="298">
        <v>8.7921961526698345E-2</v>
      </c>
      <c r="N112" s="298">
        <v>5.8256465500538285E-2</v>
      </c>
      <c r="O112" s="298">
        <v>4.4253058727944716E-2</v>
      </c>
      <c r="P112" s="298">
        <v>3.9509788445304235E-2</v>
      </c>
      <c r="Q112" s="298">
        <v>2.9542651780987427E-2</v>
      </c>
      <c r="R112" s="298">
        <v>2.8071591122090556E-2</v>
      </c>
      <c r="S112" s="298">
        <v>2.8071591122090556E-2</v>
      </c>
      <c r="T112" s="298">
        <v>2.8071591122090556E-2</v>
      </c>
      <c r="U112" s="298">
        <v>2.8071591122090556E-2</v>
      </c>
    </row>
    <row r="113" spans="2:21" x14ac:dyDescent="0.25">
      <c r="D113" s="51"/>
    </row>
    <row r="114" spans="2:21" x14ac:dyDescent="0.25">
      <c r="B114" s="26" t="s">
        <v>5</v>
      </c>
      <c r="D114" s="32">
        <f t="shared" ref="D114:Q114" si="7">SQRT(SUMSQ(D64:D112))</f>
        <v>163.93774717643851</v>
      </c>
      <c r="E114" s="32">
        <f t="shared" si="7"/>
        <v>113.48802501155089</v>
      </c>
      <c r="F114" s="32">
        <f t="shared" si="7"/>
        <v>92.201479834948017</v>
      </c>
      <c r="G114" s="32">
        <f t="shared" si="7"/>
        <v>70.914070764570482</v>
      </c>
      <c r="H114" s="32">
        <f t="shared" si="7"/>
        <v>54.750054571794223</v>
      </c>
      <c r="I114" s="32">
        <f t="shared" si="7"/>
        <v>45.409107972180678</v>
      </c>
      <c r="J114" s="32">
        <f t="shared" si="7"/>
        <v>40.452846599409661</v>
      </c>
      <c r="K114" s="32">
        <f t="shared" si="7"/>
        <v>36.567604373048553</v>
      </c>
      <c r="L114" s="32">
        <f t="shared" si="7"/>
        <v>33.722497172696237</v>
      </c>
      <c r="M114" s="32">
        <f t="shared" si="7"/>
        <v>31.537820676686238</v>
      </c>
      <c r="N114" s="32">
        <f t="shared" si="7"/>
        <v>28.353599859458789</v>
      </c>
      <c r="O114" s="32">
        <f t="shared" si="7"/>
        <v>26.003967172553079</v>
      </c>
      <c r="P114" s="32">
        <f t="shared" si="7"/>
        <v>24.160245237926446</v>
      </c>
      <c r="Q114" s="32">
        <f t="shared" si="7"/>
        <v>21.249690073067327</v>
      </c>
      <c r="R114" s="32">
        <f t="shared" ref="R114:U114" si="8">SQRT(SUMSQ(R64:R112))</f>
        <v>21.247242746791578</v>
      </c>
      <c r="S114" s="32">
        <f t="shared" si="8"/>
        <v>21.247242746791578</v>
      </c>
      <c r="T114" s="32">
        <f t="shared" si="8"/>
        <v>21.247242746791578</v>
      </c>
      <c r="U114" s="32">
        <f t="shared" si="8"/>
        <v>21.247242746791578</v>
      </c>
    </row>
    <row r="116" spans="2:21" x14ac:dyDescent="0.25">
      <c r="D116" s="32"/>
      <c r="E116" s="32"/>
      <c r="F116" s="32"/>
      <c r="G116" s="32"/>
      <c r="H116" s="32"/>
      <c r="I116" s="32"/>
    </row>
    <row r="118" spans="2:21" x14ac:dyDescent="0.25">
      <c r="D118" s="32"/>
      <c r="E118" s="32"/>
      <c r="F118" s="32"/>
      <c r="G118" s="32"/>
      <c r="H118" s="32"/>
      <c r="I118" s="32"/>
    </row>
  </sheetData>
  <pageMargins left="0.75" right="0.75" top="1" bottom="1" header="0.5" footer="0.5"/>
  <pageSetup scale="86" fitToWidth="2" fitToHeight="2" orientation="portrait" r:id="rId1"/>
  <headerFooter alignWithMargins="0">
    <oddHeader>&amp;R&amp;D
&amp;T
rh</oddHeader>
    <oddFooter>&amp;L&amp;F
&amp;A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U118"/>
  <sheetViews>
    <sheetView workbookViewId="0"/>
  </sheetViews>
  <sheetFormatPr defaultRowHeight="13.2" x14ac:dyDescent="0.25"/>
  <cols>
    <col min="1" max="6" width="9.109375" style="26"/>
    <col min="7" max="7" width="9.109375" style="26" customWidth="1"/>
    <col min="8" max="8" width="10.6640625" style="26" customWidth="1"/>
    <col min="9" max="16" width="9.109375" style="26"/>
    <col min="17" max="17" width="9.5546875" style="26" bestFit="1" customWidth="1"/>
    <col min="18" max="18" width="9.44140625" style="26" customWidth="1"/>
    <col min="19" max="19" width="9.5546875" style="26" bestFit="1" customWidth="1"/>
    <col min="20" max="262" width="9.109375" style="26"/>
    <col min="263" max="263" width="9.5546875" style="26" bestFit="1" customWidth="1"/>
    <col min="264" max="264" width="10.6640625" style="26" customWidth="1"/>
    <col min="265" max="518" width="9.109375" style="26"/>
    <col min="519" max="519" width="9.5546875" style="26" bestFit="1" customWidth="1"/>
    <col min="520" max="520" width="10.6640625" style="26" customWidth="1"/>
    <col min="521" max="774" width="9.109375" style="26"/>
    <col min="775" max="775" width="9.5546875" style="26" bestFit="1" customWidth="1"/>
    <col min="776" max="776" width="10.6640625" style="26" customWidth="1"/>
    <col min="777" max="1030" width="9.109375" style="26"/>
    <col min="1031" max="1031" width="9.5546875" style="26" bestFit="1" customWidth="1"/>
    <col min="1032" max="1032" width="10.6640625" style="26" customWidth="1"/>
    <col min="1033" max="1286" width="9.109375" style="26"/>
    <col min="1287" max="1287" width="9.5546875" style="26" bestFit="1" customWidth="1"/>
    <col min="1288" max="1288" width="10.6640625" style="26" customWidth="1"/>
    <col min="1289" max="1542" width="9.109375" style="26"/>
    <col min="1543" max="1543" width="9.5546875" style="26" bestFit="1" customWidth="1"/>
    <col min="1544" max="1544" width="10.6640625" style="26" customWidth="1"/>
    <col min="1545" max="1798" width="9.109375" style="26"/>
    <col min="1799" max="1799" width="9.5546875" style="26" bestFit="1" customWidth="1"/>
    <col min="1800" max="1800" width="10.6640625" style="26" customWidth="1"/>
    <col min="1801" max="2054" width="9.109375" style="26"/>
    <col min="2055" max="2055" width="9.5546875" style="26" bestFit="1" customWidth="1"/>
    <col min="2056" max="2056" width="10.6640625" style="26" customWidth="1"/>
    <col min="2057" max="2310" width="9.109375" style="26"/>
    <col min="2311" max="2311" width="9.5546875" style="26" bestFit="1" customWidth="1"/>
    <col min="2312" max="2312" width="10.6640625" style="26" customWidth="1"/>
    <col min="2313" max="2566" width="9.109375" style="26"/>
    <col min="2567" max="2567" width="9.5546875" style="26" bestFit="1" customWidth="1"/>
    <col min="2568" max="2568" width="10.6640625" style="26" customWidth="1"/>
    <col min="2569" max="2822" width="9.109375" style="26"/>
    <col min="2823" max="2823" width="9.5546875" style="26" bestFit="1" customWidth="1"/>
    <col min="2824" max="2824" width="10.6640625" style="26" customWidth="1"/>
    <col min="2825" max="3078" width="9.109375" style="26"/>
    <col min="3079" max="3079" width="9.5546875" style="26" bestFit="1" customWidth="1"/>
    <col min="3080" max="3080" width="10.6640625" style="26" customWidth="1"/>
    <col min="3081" max="3334" width="9.109375" style="26"/>
    <col min="3335" max="3335" width="9.5546875" style="26" bestFit="1" customWidth="1"/>
    <col min="3336" max="3336" width="10.6640625" style="26" customWidth="1"/>
    <col min="3337" max="3590" width="9.109375" style="26"/>
    <col min="3591" max="3591" width="9.5546875" style="26" bestFit="1" customWidth="1"/>
    <col min="3592" max="3592" width="10.6640625" style="26" customWidth="1"/>
    <col min="3593" max="3846" width="9.109375" style="26"/>
    <col min="3847" max="3847" width="9.5546875" style="26" bestFit="1" customWidth="1"/>
    <col min="3848" max="3848" width="10.6640625" style="26" customWidth="1"/>
    <col min="3849" max="4102" width="9.109375" style="26"/>
    <col min="4103" max="4103" width="9.5546875" style="26" bestFit="1" customWidth="1"/>
    <col min="4104" max="4104" width="10.6640625" style="26" customWidth="1"/>
    <col min="4105" max="4358" width="9.109375" style="26"/>
    <col min="4359" max="4359" width="9.5546875" style="26" bestFit="1" customWidth="1"/>
    <col min="4360" max="4360" width="10.6640625" style="26" customWidth="1"/>
    <col min="4361" max="4614" width="9.109375" style="26"/>
    <col min="4615" max="4615" width="9.5546875" style="26" bestFit="1" customWidth="1"/>
    <col min="4616" max="4616" width="10.6640625" style="26" customWidth="1"/>
    <col min="4617" max="4870" width="9.109375" style="26"/>
    <col min="4871" max="4871" width="9.5546875" style="26" bestFit="1" customWidth="1"/>
    <col min="4872" max="4872" width="10.6640625" style="26" customWidth="1"/>
    <col min="4873" max="5126" width="9.109375" style="26"/>
    <col min="5127" max="5127" width="9.5546875" style="26" bestFit="1" customWidth="1"/>
    <col min="5128" max="5128" width="10.6640625" style="26" customWidth="1"/>
    <col min="5129" max="5382" width="9.109375" style="26"/>
    <col min="5383" max="5383" width="9.5546875" style="26" bestFit="1" customWidth="1"/>
    <col min="5384" max="5384" width="10.6640625" style="26" customWidth="1"/>
    <col min="5385" max="5638" width="9.109375" style="26"/>
    <col min="5639" max="5639" width="9.5546875" style="26" bestFit="1" customWidth="1"/>
    <col min="5640" max="5640" width="10.6640625" style="26" customWidth="1"/>
    <col min="5641" max="5894" width="9.109375" style="26"/>
    <col min="5895" max="5895" width="9.5546875" style="26" bestFit="1" customWidth="1"/>
    <col min="5896" max="5896" width="10.6640625" style="26" customWidth="1"/>
    <col min="5897" max="6150" width="9.109375" style="26"/>
    <col min="6151" max="6151" width="9.5546875" style="26" bestFit="1" customWidth="1"/>
    <col min="6152" max="6152" width="10.6640625" style="26" customWidth="1"/>
    <col min="6153" max="6406" width="9.109375" style="26"/>
    <col min="6407" max="6407" width="9.5546875" style="26" bestFit="1" customWidth="1"/>
    <col min="6408" max="6408" width="10.6640625" style="26" customWidth="1"/>
    <col min="6409" max="6662" width="9.109375" style="26"/>
    <col min="6663" max="6663" width="9.5546875" style="26" bestFit="1" customWidth="1"/>
    <col min="6664" max="6664" width="10.6640625" style="26" customWidth="1"/>
    <col min="6665" max="6918" width="9.109375" style="26"/>
    <col min="6919" max="6919" width="9.5546875" style="26" bestFit="1" customWidth="1"/>
    <col min="6920" max="6920" width="10.6640625" style="26" customWidth="1"/>
    <col min="6921" max="7174" width="9.109375" style="26"/>
    <col min="7175" max="7175" width="9.5546875" style="26" bestFit="1" customWidth="1"/>
    <col min="7176" max="7176" width="10.6640625" style="26" customWidth="1"/>
    <col min="7177" max="7430" width="9.109375" style="26"/>
    <col min="7431" max="7431" width="9.5546875" style="26" bestFit="1" customWidth="1"/>
    <col min="7432" max="7432" width="10.6640625" style="26" customWidth="1"/>
    <col min="7433" max="7686" width="9.109375" style="26"/>
    <col min="7687" max="7687" width="9.5546875" style="26" bestFit="1" customWidth="1"/>
    <col min="7688" max="7688" width="10.6640625" style="26" customWidth="1"/>
    <col min="7689" max="7942" width="9.109375" style="26"/>
    <col min="7943" max="7943" width="9.5546875" style="26" bestFit="1" customWidth="1"/>
    <col min="7944" max="7944" width="10.6640625" style="26" customWidth="1"/>
    <col min="7945" max="8198" width="9.109375" style="26"/>
    <col min="8199" max="8199" width="9.5546875" style="26" bestFit="1" customWidth="1"/>
    <col min="8200" max="8200" width="10.6640625" style="26" customWidth="1"/>
    <col min="8201" max="8454" width="9.109375" style="26"/>
    <col min="8455" max="8455" width="9.5546875" style="26" bestFit="1" customWidth="1"/>
    <col min="8456" max="8456" width="10.6640625" style="26" customWidth="1"/>
    <col min="8457" max="8710" width="9.109375" style="26"/>
    <col min="8711" max="8711" width="9.5546875" style="26" bestFit="1" customWidth="1"/>
    <col min="8712" max="8712" width="10.6640625" style="26" customWidth="1"/>
    <col min="8713" max="8966" width="9.109375" style="26"/>
    <col min="8967" max="8967" width="9.5546875" style="26" bestFit="1" customWidth="1"/>
    <col min="8968" max="8968" width="10.6640625" style="26" customWidth="1"/>
    <col min="8969" max="9222" width="9.109375" style="26"/>
    <col min="9223" max="9223" width="9.5546875" style="26" bestFit="1" customWidth="1"/>
    <col min="9224" max="9224" width="10.6640625" style="26" customWidth="1"/>
    <col min="9225" max="9478" width="9.109375" style="26"/>
    <col min="9479" max="9479" width="9.5546875" style="26" bestFit="1" customWidth="1"/>
    <col min="9480" max="9480" width="10.6640625" style="26" customWidth="1"/>
    <col min="9481" max="9734" width="9.109375" style="26"/>
    <col min="9735" max="9735" width="9.5546875" style="26" bestFit="1" customWidth="1"/>
    <col min="9736" max="9736" width="10.6640625" style="26" customWidth="1"/>
    <col min="9737" max="9990" width="9.109375" style="26"/>
    <col min="9991" max="9991" width="9.5546875" style="26" bestFit="1" customWidth="1"/>
    <col min="9992" max="9992" width="10.6640625" style="26" customWidth="1"/>
    <col min="9993" max="10246" width="9.109375" style="26"/>
    <col min="10247" max="10247" width="9.5546875" style="26" bestFit="1" customWidth="1"/>
    <col min="10248" max="10248" width="10.6640625" style="26" customWidth="1"/>
    <col min="10249" max="10502" width="9.109375" style="26"/>
    <col min="10503" max="10503" width="9.5546875" style="26" bestFit="1" customWidth="1"/>
    <col min="10504" max="10504" width="10.6640625" style="26" customWidth="1"/>
    <col min="10505" max="10758" width="9.109375" style="26"/>
    <col min="10759" max="10759" width="9.5546875" style="26" bestFit="1" customWidth="1"/>
    <col min="10760" max="10760" width="10.6640625" style="26" customWidth="1"/>
    <col min="10761" max="11014" width="9.109375" style="26"/>
    <col min="11015" max="11015" width="9.5546875" style="26" bestFit="1" customWidth="1"/>
    <col min="11016" max="11016" width="10.6640625" style="26" customWidth="1"/>
    <col min="11017" max="11270" width="9.109375" style="26"/>
    <col min="11271" max="11271" width="9.5546875" style="26" bestFit="1" customWidth="1"/>
    <col min="11272" max="11272" width="10.6640625" style="26" customWidth="1"/>
    <col min="11273" max="11526" width="9.109375" style="26"/>
    <col min="11527" max="11527" width="9.5546875" style="26" bestFit="1" customWidth="1"/>
    <col min="11528" max="11528" width="10.6640625" style="26" customWidth="1"/>
    <col min="11529" max="11782" width="9.109375" style="26"/>
    <col min="11783" max="11783" width="9.5546875" style="26" bestFit="1" customWidth="1"/>
    <col min="11784" max="11784" width="10.6640625" style="26" customWidth="1"/>
    <col min="11785" max="12038" width="9.109375" style="26"/>
    <col min="12039" max="12039" width="9.5546875" style="26" bestFit="1" customWidth="1"/>
    <col min="12040" max="12040" width="10.6640625" style="26" customWidth="1"/>
    <col min="12041" max="12294" width="9.109375" style="26"/>
    <col min="12295" max="12295" width="9.5546875" style="26" bestFit="1" customWidth="1"/>
    <col min="12296" max="12296" width="10.6640625" style="26" customWidth="1"/>
    <col min="12297" max="12550" width="9.109375" style="26"/>
    <col min="12551" max="12551" width="9.5546875" style="26" bestFit="1" customWidth="1"/>
    <col min="12552" max="12552" width="10.6640625" style="26" customWidth="1"/>
    <col min="12553" max="12806" width="9.109375" style="26"/>
    <col min="12807" max="12807" width="9.5546875" style="26" bestFit="1" customWidth="1"/>
    <col min="12808" max="12808" width="10.6640625" style="26" customWidth="1"/>
    <col min="12809" max="13062" width="9.109375" style="26"/>
    <col min="13063" max="13063" width="9.5546875" style="26" bestFit="1" customWidth="1"/>
    <col min="13064" max="13064" width="10.6640625" style="26" customWidth="1"/>
    <col min="13065" max="13318" width="9.109375" style="26"/>
    <col min="13319" max="13319" width="9.5546875" style="26" bestFit="1" customWidth="1"/>
    <col min="13320" max="13320" width="10.6640625" style="26" customWidth="1"/>
    <col min="13321" max="13574" width="9.109375" style="26"/>
    <col min="13575" max="13575" width="9.5546875" style="26" bestFit="1" customWidth="1"/>
    <col min="13576" max="13576" width="10.6640625" style="26" customWidth="1"/>
    <col min="13577" max="13830" width="9.109375" style="26"/>
    <col min="13831" max="13831" width="9.5546875" style="26" bestFit="1" customWidth="1"/>
    <col min="13832" max="13832" width="10.6640625" style="26" customWidth="1"/>
    <col min="13833" max="14086" width="9.109375" style="26"/>
    <col min="14087" max="14087" width="9.5546875" style="26" bestFit="1" customWidth="1"/>
    <col min="14088" max="14088" width="10.6640625" style="26" customWidth="1"/>
    <col min="14089" max="14342" width="9.109375" style="26"/>
    <col min="14343" max="14343" width="9.5546875" style="26" bestFit="1" customWidth="1"/>
    <col min="14344" max="14344" width="10.6640625" style="26" customWidth="1"/>
    <col min="14345" max="14598" width="9.109375" style="26"/>
    <col min="14599" max="14599" width="9.5546875" style="26" bestFit="1" customWidth="1"/>
    <col min="14600" max="14600" width="10.6640625" style="26" customWidth="1"/>
    <col min="14601" max="14854" width="9.109375" style="26"/>
    <col min="14855" max="14855" width="9.5546875" style="26" bestFit="1" customWidth="1"/>
    <col min="14856" max="14856" width="10.6640625" style="26" customWidth="1"/>
    <col min="14857" max="15110" width="9.109375" style="26"/>
    <col min="15111" max="15111" width="9.5546875" style="26" bestFit="1" customWidth="1"/>
    <col min="15112" max="15112" width="10.6640625" style="26" customWidth="1"/>
    <col min="15113" max="15366" width="9.109375" style="26"/>
    <col min="15367" max="15367" width="9.5546875" style="26" bestFit="1" customWidth="1"/>
    <col min="15368" max="15368" width="10.6640625" style="26" customWidth="1"/>
    <col min="15369" max="15622" width="9.109375" style="26"/>
    <col min="15623" max="15623" width="9.5546875" style="26" bestFit="1" customWidth="1"/>
    <col min="15624" max="15624" width="10.6640625" style="26" customWidth="1"/>
    <col min="15625" max="15878" width="9.109375" style="26"/>
    <col min="15879" max="15879" width="9.5546875" style="26" bestFit="1" customWidth="1"/>
    <col min="15880" max="15880" width="10.6640625" style="26" customWidth="1"/>
    <col min="15881" max="16134" width="9.109375" style="26"/>
    <col min="16135" max="16135" width="9.5546875" style="26" bestFit="1" customWidth="1"/>
    <col min="16136" max="16136" width="10.6640625" style="26" customWidth="1"/>
    <col min="16137" max="16384" width="9.109375" style="26"/>
  </cols>
  <sheetData>
    <row r="1" spans="1:15" ht="13.8" thickBot="1" x14ac:dyDescent="0.3">
      <c r="A1" s="84" t="s">
        <v>271</v>
      </c>
      <c r="B1" s="275" t="s">
        <v>402</v>
      </c>
      <c r="C1" s="33">
        <f>Drives!BA8</f>
        <v>38490.017945975058</v>
      </c>
      <c r="D1" s="28" t="s">
        <v>7</v>
      </c>
      <c r="E1" s="300">
        <v>2.5</v>
      </c>
      <c r="F1" s="301">
        <f>MAX(0.1,E1+100/C1)</f>
        <v>2.5025980762113531</v>
      </c>
      <c r="G1" s="36" t="s">
        <v>1</v>
      </c>
      <c r="H1" s="29">
        <f>IF(J1=0,0,H4/J1)</f>
        <v>0</v>
      </c>
      <c r="I1" s="54" t="s">
        <v>94</v>
      </c>
      <c r="J1" s="34">
        <f>Drives!Z8</f>
        <v>0</v>
      </c>
      <c r="K1" s="26" t="s">
        <v>84</v>
      </c>
      <c r="N1" s="254">
        <v>0.97499999999999998</v>
      </c>
      <c r="O1" s="26" t="s">
        <v>176</v>
      </c>
    </row>
    <row r="2" spans="1:15" x14ac:dyDescent="0.25">
      <c r="A2" s="272" t="s">
        <v>88</v>
      </c>
      <c r="B2" s="276">
        <v>8</v>
      </c>
      <c r="D2" s="26">
        <f>C4+1</f>
        <v>4</v>
      </c>
      <c r="E2" s="27">
        <f>F1-C3</f>
        <v>0.50259807621135311</v>
      </c>
      <c r="J2" s="29">
        <f>IF(J1&gt;=0.6, 0.7+(J1-0.6)*0.75, IF(J1&gt;=0.2, 0.3+(J1-0.2)*1, J1*1.5))</f>
        <v>0</v>
      </c>
      <c r="K2" s="26" t="s">
        <v>60</v>
      </c>
    </row>
    <row r="3" spans="1:15" ht="13.8" thickBot="1" x14ac:dyDescent="0.3">
      <c r="A3" s="43" t="s">
        <v>89</v>
      </c>
      <c r="C3" s="41">
        <f>HLOOKUP($F$1,$D$62:$U$113,(B3+1))</f>
        <v>2</v>
      </c>
      <c r="D3" s="41">
        <f>HLOOKUP($D$2,$D$61:$U$113,(B3+2))</f>
        <v>3</v>
      </c>
      <c r="E3" s="26">
        <f>D3-C3</f>
        <v>1</v>
      </c>
      <c r="F3" s="26">
        <f>IF(E3=0,1,E2/E3)</f>
        <v>0.50259807621135311</v>
      </c>
      <c r="G3" s="27">
        <f>C3+(E3*F3)</f>
        <v>2.5025980762113531</v>
      </c>
      <c r="J3" s="31"/>
    </row>
    <row r="4" spans="1:15" ht="13.8" thickBot="1" x14ac:dyDescent="0.3">
      <c r="A4" s="43" t="s">
        <v>90</v>
      </c>
      <c r="B4" s="26">
        <v>1</v>
      </c>
      <c r="C4" s="302">
        <f t="shared" ref="C4:C53" si="0">HLOOKUP($F$1,$D$62:$U$113,(B4+1))</f>
        <v>3</v>
      </c>
      <c r="D4" s="302">
        <f t="shared" ref="D4:D53" si="1">HLOOKUP($D$2,$D$61:$U$113,(B4+2))</f>
        <v>4</v>
      </c>
      <c r="G4" s="27">
        <v>100</v>
      </c>
      <c r="H4" s="34">
        <f>Drives!AR8</f>
        <v>0</v>
      </c>
      <c r="I4" s="26" t="s">
        <v>53</v>
      </c>
    </row>
    <row r="5" spans="1:15" x14ac:dyDescent="0.25">
      <c r="A5" s="31"/>
      <c r="B5" s="26">
        <v>2</v>
      </c>
      <c r="C5" s="52">
        <f t="shared" si="0"/>
        <v>0.19164678959143519</v>
      </c>
      <c r="D5" s="52">
        <f t="shared" si="1"/>
        <v>3.2432337711389723E-2</v>
      </c>
      <c r="E5" s="48">
        <f t="shared" ref="E5:E53" si="2">D5-C5</f>
        <v>-0.15921445188004546</v>
      </c>
      <c r="F5" s="48">
        <f t="shared" ref="F5:F53" si="3">E5*$F$3</f>
        <v>-8.0020877219955905E-2</v>
      </c>
      <c r="G5" s="48">
        <f t="shared" ref="G5:G53" si="4">C5+F5</f>
        <v>0.11162591237147929</v>
      </c>
      <c r="H5" s="30">
        <f>J$2*G5*$H$1/100</f>
        <v>0</v>
      </c>
    </row>
    <row r="6" spans="1:15" x14ac:dyDescent="0.25">
      <c r="A6" s="270" t="s">
        <v>404</v>
      </c>
      <c r="B6" s="26">
        <v>3</v>
      </c>
      <c r="C6" s="52">
        <f t="shared" si="0"/>
        <v>4.8916763402676038</v>
      </c>
      <c r="D6" s="52">
        <f t="shared" si="1"/>
        <v>5.107248510230364</v>
      </c>
      <c r="E6" s="48">
        <f t="shared" si="2"/>
        <v>0.21557216996276019</v>
      </c>
      <c r="F6" s="48">
        <f t="shared" si="3"/>
        <v>0.10834615790799011</v>
      </c>
      <c r="G6" s="48">
        <f t="shared" si="4"/>
        <v>5.0000224981755936</v>
      </c>
      <c r="H6" s="30">
        <f t="shared" ref="H6:H53" si="5">J$2*G6*$H$1/100</f>
        <v>0</v>
      </c>
    </row>
    <row r="7" spans="1:15" x14ac:dyDescent="0.25">
      <c r="A7" s="270" t="s">
        <v>92</v>
      </c>
      <c r="B7" s="26">
        <v>4</v>
      </c>
      <c r="C7" s="52">
        <f t="shared" si="0"/>
        <v>0.1270693443534559</v>
      </c>
      <c r="D7" s="52">
        <f t="shared" si="1"/>
        <v>2.9673650735424224E-2</v>
      </c>
      <c r="E7" s="48">
        <f t="shared" si="2"/>
        <v>-9.7395693618031687E-2</v>
      </c>
      <c r="F7" s="48">
        <f t="shared" si="3"/>
        <v>-4.8950888243693085E-2</v>
      </c>
      <c r="G7" s="48">
        <f t="shared" si="4"/>
        <v>7.8118456109762813E-2</v>
      </c>
      <c r="H7" s="30">
        <f t="shared" si="5"/>
        <v>0</v>
      </c>
    </row>
    <row r="8" spans="1:15" x14ac:dyDescent="0.25">
      <c r="A8" s="50"/>
      <c r="B8" s="26">
        <v>5</v>
      </c>
      <c r="C8" s="52">
        <f t="shared" si="0"/>
        <v>60.831459052554194</v>
      </c>
      <c r="D8" s="52">
        <f t="shared" si="1"/>
        <v>49.382828970020235</v>
      </c>
      <c r="E8" s="48">
        <f t="shared" si="2"/>
        <v>-11.44863008253396</v>
      </c>
      <c r="F8" s="48">
        <f t="shared" si="3"/>
        <v>-5.7540594547369928</v>
      </c>
      <c r="G8" s="48">
        <f t="shared" si="4"/>
        <v>55.077399597817205</v>
      </c>
      <c r="H8" s="30">
        <f t="shared" si="5"/>
        <v>0</v>
      </c>
    </row>
    <row r="9" spans="1:15" x14ac:dyDescent="0.25">
      <c r="A9" s="50"/>
      <c r="B9" s="26">
        <v>6</v>
      </c>
      <c r="C9" s="52">
        <f t="shared" si="0"/>
        <v>1.1862351899176933E-2</v>
      </c>
      <c r="D9" s="52">
        <f t="shared" si="1"/>
        <v>1.9222702695116914E-3</v>
      </c>
      <c r="E9" s="48">
        <f t="shared" si="2"/>
        <v>-9.9400816296652417E-3</v>
      </c>
      <c r="F9" s="48">
        <f t="shared" si="3"/>
        <v>-4.9958659044535619E-3</v>
      </c>
      <c r="G9" s="48">
        <f t="shared" si="4"/>
        <v>6.8664859947233708E-3</v>
      </c>
      <c r="H9" s="30">
        <f t="shared" si="5"/>
        <v>0</v>
      </c>
    </row>
    <row r="10" spans="1:15" x14ac:dyDescent="0.25">
      <c r="B10" s="26">
        <v>7</v>
      </c>
      <c r="C10" s="52">
        <f t="shared" si="0"/>
        <v>34.473926081721721</v>
      </c>
      <c r="D10" s="52">
        <f t="shared" si="1"/>
        <v>20.70483242585701</v>
      </c>
      <c r="E10" s="48">
        <f t="shared" si="2"/>
        <v>-13.769093655864712</v>
      </c>
      <c r="F10" s="48">
        <f t="shared" si="3"/>
        <v>-6.9203199826115513</v>
      </c>
      <c r="G10" s="48">
        <f t="shared" si="4"/>
        <v>27.553606099110169</v>
      </c>
      <c r="H10" s="30">
        <f t="shared" si="5"/>
        <v>0</v>
      </c>
    </row>
    <row r="11" spans="1:15" x14ac:dyDescent="0.25">
      <c r="B11" s="26">
        <v>8</v>
      </c>
      <c r="C11" s="52">
        <f t="shared" si="0"/>
        <v>1.9116049168177565E-2</v>
      </c>
      <c r="D11" s="52">
        <f t="shared" si="1"/>
        <v>2.3564987660073828E-2</v>
      </c>
      <c r="E11" s="48">
        <f t="shared" si="2"/>
        <v>4.4489384918962628E-3</v>
      </c>
      <c r="F11" s="48">
        <f t="shared" si="3"/>
        <v>2.2360279272097003E-3</v>
      </c>
      <c r="G11" s="48">
        <f t="shared" si="4"/>
        <v>2.1352077095387265E-2</v>
      </c>
      <c r="H11" s="30">
        <f t="shared" si="5"/>
        <v>0</v>
      </c>
    </row>
    <row r="12" spans="1:15" x14ac:dyDescent="0.25">
      <c r="B12" s="26">
        <v>9</v>
      </c>
      <c r="C12" s="52">
        <f t="shared" si="0"/>
        <v>0.60368769264829547</v>
      </c>
      <c r="D12" s="52">
        <f t="shared" si="1"/>
        <v>0.42447764331950832</v>
      </c>
      <c r="E12" s="48">
        <f t="shared" si="2"/>
        <v>-0.17921004932878715</v>
      </c>
      <c r="F12" s="48">
        <f t="shared" si="3"/>
        <v>-9.0070626030390108E-2</v>
      </c>
      <c r="G12" s="48">
        <f t="shared" si="4"/>
        <v>0.5136170666179054</v>
      </c>
      <c r="H12" s="30">
        <f t="shared" si="5"/>
        <v>0</v>
      </c>
    </row>
    <row r="13" spans="1:15" x14ac:dyDescent="0.25">
      <c r="B13" s="26">
        <v>10</v>
      </c>
      <c r="C13" s="52">
        <f t="shared" si="0"/>
        <v>3.1896110289054799E-2</v>
      </c>
      <c r="D13" s="52">
        <f t="shared" si="1"/>
        <v>9.7072760067846587E-3</v>
      </c>
      <c r="E13" s="48">
        <f t="shared" si="2"/>
        <v>-2.2188834282270142E-2</v>
      </c>
      <c r="F13" s="48">
        <f t="shared" si="3"/>
        <v>-1.1152065423641494E-2</v>
      </c>
      <c r="G13" s="48">
        <f t="shared" si="4"/>
        <v>2.0744044865413307E-2</v>
      </c>
      <c r="H13" s="30">
        <f t="shared" si="5"/>
        <v>0</v>
      </c>
    </row>
    <row r="14" spans="1:15" x14ac:dyDescent="0.25">
      <c r="B14" s="26">
        <v>11</v>
      </c>
      <c r="C14" s="52">
        <f t="shared" si="0"/>
        <v>6.5636008603412694</v>
      </c>
      <c r="D14" s="52">
        <f t="shared" si="1"/>
        <v>7.6797975872700235</v>
      </c>
      <c r="E14" s="48">
        <f t="shared" si="2"/>
        <v>1.116196726928754</v>
      </c>
      <c r="F14" s="48">
        <f t="shared" si="3"/>
        <v>0.56099832762780077</v>
      </c>
      <c r="G14" s="48">
        <f t="shared" si="4"/>
        <v>7.1245991879690704</v>
      </c>
      <c r="H14" s="30">
        <f t="shared" si="5"/>
        <v>0</v>
      </c>
    </row>
    <row r="15" spans="1:15" x14ac:dyDescent="0.25">
      <c r="B15" s="26">
        <v>12</v>
      </c>
      <c r="C15" s="52">
        <f t="shared" si="0"/>
        <v>5.329225146697902E-3</v>
      </c>
      <c r="D15" s="52">
        <f t="shared" si="1"/>
        <v>1.7455825337836627E-3</v>
      </c>
      <c r="E15" s="48">
        <f t="shared" si="2"/>
        <v>-3.5836426129142391E-3</v>
      </c>
      <c r="F15" s="48">
        <f t="shared" si="3"/>
        <v>-1.8011318830797234E-3</v>
      </c>
      <c r="G15" s="48">
        <f t="shared" si="4"/>
        <v>3.5280932636181789E-3</v>
      </c>
      <c r="H15" s="30">
        <f t="shared" si="5"/>
        <v>0</v>
      </c>
    </row>
    <row r="16" spans="1:15" x14ac:dyDescent="0.25">
      <c r="B16" s="26">
        <v>13</v>
      </c>
      <c r="C16" s="52">
        <f t="shared" si="0"/>
        <v>6.4203508662030933</v>
      </c>
      <c r="D16" s="52">
        <f t="shared" si="1"/>
        <v>4.053836065316168</v>
      </c>
      <c r="E16" s="48">
        <f t="shared" si="2"/>
        <v>-2.3665148008869252</v>
      </c>
      <c r="F16" s="48">
        <f t="shared" si="3"/>
        <v>-1.189405786251462</v>
      </c>
      <c r="G16" s="48">
        <f t="shared" si="4"/>
        <v>5.2309450799516313</v>
      </c>
      <c r="H16" s="30">
        <f t="shared" si="5"/>
        <v>0</v>
      </c>
    </row>
    <row r="17" spans="2:8" x14ac:dyDescent="0.25">
      <c r="B17" s="26">
        <v>14</v>
      </c>
      <c r="C17" s="52">
        <f t="shared" si="0"/>
        <v>1.1364022598705132E-2</v>
      </c>
      <c r="D17" s="52">
        <f t="shared" si="1"/>
        <v>1.5808693433503308E-2</v>
      </c>
      <c r="E17" s="48">
        <f t="shared" si="2"/>
        <v>4.4446708347981763E-3</v>
      </c>
      <c r="F17" s="48">
        <f t="shared" si="3"/>
        <v>2.2338830109622722E-3</v>
      </c>
      <c r="G17" s="48">
        <f t="shared" si="4"/>
        <v>1.3597905609667404E-2</v>
      </c>
      <c r="H17" s="30">
        <f t="shared" si="5"/>
        <v>0</v>
      </c>
    </row>
    <row r="18" spans="2:8" x14ac:dyDescent="0.25">
      <c r="B18" s="26">
        <v>15</v>
      </c>
      <c r="C18" s="52">
        <f t="shared" si="0"/>
        <v>0.33979479464125767</v>
      </c>
      <c r="D18" s="52">
        <f t="shared" si="1"/>
        <v>0.19877874639876153</v>
      </c>
      <c r="E18" s="48">
        <f t="shared" si="2"/>
        <v>-0.14101604824249614</v>
      </c>
      <c r="F18" s="48">
        <f t="shared" si="3"/>
        <v>-7.0874394561605922E-2</v>
      </c>
      <c r="G18" s="48">
        <f t="shared" si="4"/>
        <v>0.26892040007965173</v>
      </c>
      <c r="H18" s="30">
        <f t="shared" si="5"/>
        <v>0</v>
      </c>
    </row>
    <row r="19" spans="2:8" x14ac:dyDescent="0.25">
      <c r="B19" s="26">
        <v>16</v>
      </c>
      <c r="C19" s="52">
        <f t="shared" si="0"/>
        <v>1.9149260351853523E-2</v>
      </c>
      <c r="D19" s="52">
        <f t="shared" si="1"/>
        <v>8.8894084206710914E-3</v>
      </c>
      <c r="E19" s="48">
        <f t="shared" si="2"/>
        <v>-1.0259851931182432E-2</v>
      </c>
      <c r="F19" s="48">
        <f t="shared" si="3"/>
        <v>-5.1565818428256265E-3</v>
      </c>
      <c r="G19" s="48">
        <f t="shared" si="4"/>
        <v>1.3992678509027898E-2</v>
      </c>
      <c r="H19" s="30">
        <f t="shared" si="5"/>
        <v>0</v>
      </c>
    </row>
    <row r="20" spans="2:8" x14ac:dyDescent="0.25">
      <c r="B20" s="26">
        <v>17</v>
      </c>
      <c r="C20" s="52">
        <f t="shared" si="0"/>
        <v>3.651615692351549</v>
      </c>
      <c r="D20" s="52">
        <f t="shared" si="1"/>
        <v>3.9361368606820331</v>
      </c>
      <c r="E20" s="48">
        <f t="shared" si="2"/>
        <v>0.28452116833048402</v>
      </c>
      <c r="F20" s="48">
        <f t="shared" si="3"/>
        <v>0.14299979184430783</v>
      </c>
      <c r="G20" s="48">
        <f t="shared" si="4"/>
        <v>3.794615484195857</v>
      </c>
      <c r="H20" s="30">
        <f t="shared" si="5"/>
        <v>0</v>
      </c>
    </row>
    <row r="21" spans="2:8" x14ac:dyDescent="0.25">
      <c r="B21" s="26">
        <v>18</v>
      </c>
      <c r="C21" s="52">
        <f t="shared" si="0"/>
        <v>4.1891794258732719E-3</v>
      </c>
      <c r="D21" s="52">
        <f t="shared" si="1"/>
        <v>2.5800652861531514E-3</v>
      </c>
      <c r="E21" s="48">
        <f t="shared" si="2"/>
        <v>-1.6091141397201205E-3</v>
      </c>
      <c r="F21" s="48">
        <f t="shared" si="3"/>
        <v>-8.0873767102781905E-4</v>
      </c>
      <c r="G21" s="48">
        <f t="shared" si="4"/>
        <v>3.3804417548454527E-3</v>
      </c>
      <c r="H21" s="30">
        <f t="shared" si="5"/>
        <v>0</v>
      </c>
    </row>
    <row r="22" spans="2:8" x14ac:dyDescent="0.25">
      <c r="B22" s="26">
        <v>19</v>
      </c>
      <c r="C22" s="52">
        <f t="shared" si="0"/>
        <v>2.461818140179882</v>
      </c>
      <c r="D22" s="52">
        <f t="shared" si="1"/>
        <v>1.5612033953483941</v>
      </c>
      <c r="E22" s="48">
        <f t="shared" si="2"/>
        <v>-0.90061474483148785</v>
      </c>
      <c r="F22" s="48">
        <f t="shared" si="3"/>
        <v>-0.45264723815988445</v>
      </c>
      <c r="G22" s="48">
        <f t="shared" si="4"/>
        <v>2.0091709020199975</v>
      </c>
      <c r="H22" s="30">
        <f t="shared" si="5"/>
        <v>0</v>
      </c>
    </row>
    <row r="23" spans="2:8" x14ac:dyDescent="0.25">
      <c r="B23" s="26">
        <v>20</v>
      </c>
      <c r="C23" s="52">
        <f t="shared" si="0"/>
        <v>1.3414457398225953E-2</v>
      </c>
      <c r="D23" s="52">
        <f t="shared" si="1"/>
        <v>1.3820648138552563E-2</v>
      </c>
      <c r="E23" s="48">
        <f t="shared" si="2"/>
        <v>4.0619074032660976E-4</v>
      </c>
      <c r="F23" s="48">
        <f t="shared" si="3"/>
        <v>2.0415068466301934E-4</v>
      </c>
      <c r="G23" s="48">
        <f t="shared" si="4"/>
        <v>1.3618608082888973E-2</v>
      </c>
      <c r="H23" s="30">
        <f t="shared" si="5"/>
        <v>0</v>
      </c>
    </row>
    <row r="24" spans="2:8" x14ac:dyDescent="0.25">
      <c r="B24" s="26">
        <v>21</v>
      </c>
      <c r="C24" s="52">
        <f t="shared" si="0"/>
        <v>0.2327624797312611</v>
      </c>
      <c r="D24" s="52">
        <f t="shared" si="1"/>
        <v>0.12695962714013889</v>
      </c>
      <c r="E24" s="48">
        <f t="shared" si="2"/>
        <v>-0.10580285259112221</v>
      </c>
      <c r="F24" s="48">
        <f t="shared" si="3"/>
        <v>-5.3176310169971396E-2</v>
      </c>
      <c r="G24" s="48">
        <f t="shared" si="4"/>
        <v>0.1795861695612897</v>
      </c>
      <c r="H24" s="30">
        <f t="shared" si="5"/>
        <v>0</v>
      </c>
    </row>
    <row r="25" spans="2:8" x14ac:dyDescent="0.25">
      <c r="B25" s="26">
        <v>22</v>
      </c>
      <c r="C25" s="52">
        <f t="shared" si="0"/>
        <v>1.4397088226243407E-2</v>
      </c>
      <c r="D25" s="52">
        <f t="shared" si="1"/>
        <v>8.0433131135157904E-3</v>
      </c>
      <c r="E25" s="48">
        <f t="shared" si="2"/>
        <v>-6.3537751127276162E-3</v>
      </c>
      <c r="F25" s="48">
        <f t="shared" si="3"/>
        <v>-3.1933951483364732E-3</v>
      </c>
      <c r="G25" s="48">
        <f t="shared" si="4"/>
        <v>1.1203693077906933E-2</v>
      </c>
      <c r="H25" s="30">
        <f t="shared" si="5"/>
        <v>0</v>
      </c>
    </row>
    <row r="26" spans="2:8" x14ac:dyDescent="0.25">
      <c r="B26" s="26">
        <v>23</v>
      </c>
      <c r="C26" s="52">
        <f t="shared" si="0"/>
        <v>2.0670952688936821</v>
      </c>
      <c r="D26" s="52">
        <f t="shared" si="1"/>
        <v>2.2928087910650583</v>
      </c>
      <c r="E26" s="48">
        <f t="shared" si="2"/>
        <v>0.22571352217137619</v>
      </c>
      <c r="F26" s="48">
        <f t="shared" si="3"/>
        <v>0.11344318201822227</v>
      </c>
      <c r="G26" s="48">
        <f t="shared" si="4"/>
        <v>2.1805384509119046</v>
      </c>
      <c r="H26" s="30">
        <f t="shared" si="5"/>
        <v>0</v>
      </c>
    </row>
    <row r="27" spans="2:8" x14ac:dyDescent="0.25">
      <c r="B27" s="26">
        <v>24</v>
      </c>
      <c r="C27" s="52">
        <f t="shared" si="0"/>
        <v>3.7823320015961076E-3</v>
      </c>
      <c r="D27" s="52">
        <f t="shared" si="1"/>
        <v>3.0035667733548503E-3</v>
      </c>
      <c r="E27" s="48">
        <f t="shared" si="2"/>
        <v>-7.7876522824125733E-4</v>
      </c>
      <c r="F27" s="48">
        <f t="shared" si="3"/>
        <v>-3.9140590553435122E-4</v>
      </c>
      <c r="G27" s="48">
        <f t="shared" si="4"/>
        <v>3.3909260960617565E-3</v>
      </c>
      <c r="H27" s="30">
        <f t="shared" si="5"/>
        <v>0</v>
      </c>
    </row>
    <row r="28" spans="2:8" x14ac:dyDescent="0.25">
      <c r="B28" s="26">
        <v>25</v>
      </c>
      <c r="C28" s="52">
        <f t="shared" si="0"/>
        <v>1.4065816239828657</v>
      </c>
      <c r="D28" s="52">
        <f t="shared" si="1"/>
        <v>0.9812541545579192</v>
      </c>
      <c r="E28" s="48">
        <f t="shared" si="2"/>
        <v>-0.42532746942494648</v>
      </c>
      <c r="F28" s="48">
        <f t="shared" si="3"/>
        <v>-0.2137687678928212</v>
      </c>
      <c r="G28" s="48">
        <f t="shared" si="4"/>
        <v>1.1928128560900444</v>
      </c>
      <c r="H28" s="30">
        <f t="shared" si="5"/>
        <v>0</v>
      </c>
    </row>
    <row r="29" spans="2:8" x14ac:dyDescent="0.25">
      <c r="B29" s="26">
        <v>26</v>
      </c>
      <c r="C29" s="52">
        <f t="shared" si="0"/>
        <v>1.7180710354120391E-2</v>
      </c>
      <c r="D29" s="52">
        <f t="shared" si="1"/>
        <v>1.4413765296386657E-2</v>
      </c>
      <c r="E29" s="48">
        <f t="shared" si="2"/>
        <v>-2.7669450577337343E-3</v>
      </c>
      <c r="F29" s="48">
        <f t="shared" si="3"/>
        <v>-1.3906612629994862E-3</v>
      </c>
      <c r="G29" s="48">
        <f t="shared" si="4"/>
        <v>1.5790049091120906E-2</v>
      </c>
      <c r="H29" s="30">
        <f t="shared" si="5"/>
        <v>0</v>
      </c>
    </row>
    <row r="30" spans="2:8" x14ac:dyDescent="0.25">
      <c r="B30" s="26">
        <v>27</v>
      </c>
      <c r="C30" s="52">
        <f t="shared" si="0"/>
        <v>0.17380962651022741</v>
      </c>
      <c r="D30" s="52">
        <f t="shared" si="1"/>
        <v>9.1193806224074303E-2</v>
      </c>
      <c r="E30" s="48">
        <f t="shared" si="2"/>
        <v>-8.2615820286153108E-2</v>
      </c>
      <c r="F30" s="48">
        <f t="shared" si="3"/>
        <v>-4.1522552340443435E-2</v>
      </c>
      <c r="G30" s="48">
        <f t="shared" si="4"/>
        <v>0.13228707416978397</v>
      </c>
      <c r="H30" s="30">
        <f t="shared" si="5"/>
        <v>0</v>
      </c>
    </row>
    <row r="31" spans="2:8" x14ac:dyDescent="0.25">
      <c r="B31" s="26">
        <v>28</v>
      </c>
      <c r="C31" s="52">
        <f t="shared" si="0"/>
        <v>1.1872541264805246E-2</v>
      </c>
      <c r="D31" s="52">
        <f t="shared" si="1"/>
        <v>6.9611130983163278E-3</v>
      </c>
      <c r="E31" s="48">
        <f t="shared" si="2"/>
        <v>-4.9114281664889179E-3</v>
      </c>
      <c r="F31" s="48">
        <f t="shared" si="3"/>
        <v>-2.4684743479275835E-3</v>
      </c>
      <c r="G31" s="48">
        <f t="shared" si="4"/>
        <v>9.4040669168776632E-3</v>
      </c>
      <c r="H31" s="30">
        <f t="shared" si="5"/>
        <v>0</v>
      </c>
    </row>
    <row r="32" spans="2:8" x14ac:dyDescent="0.25">
      <c r="B32" s="26">
        <v>29</v>
      </c>
      <c r="C32" s="52">
        <f t="shared" si="0"/>
        <v>1.3975423047728013</v>
      </c>
      <c r="D32" s="52">
        <f t="shared" si="1"/>
        <v>1.3999934630363924</v>
      </c>
      <c r="E32" s="48">
        <f t="shared" si="2"/>
        <v>2.4511582635911022E-3</v>
      </c>
      <c r="F32" s="48">
        <f t="shared" si="3"/>
        <v>1.2319474277704488E-3</v>
      </c>
      <c r="G32" s="48">
        <f t="shared" si="4"/>
        <v>1.3987742522005717</v>
      </c>
      <c r="H32" s="30">
        <f t="shared" si="5"/>
        <v>0</v>
      </c>
    </row>
    <row r="33" spans="2:8" x14ac:dyDescent="0.25">
      <c r="B33" s="26">
        <v>30</v>
      </c>
      <c r="C33" s="52">
        <f t="shared" si="0"/>
        <v>3.60287707209932E-3</v>
      </c>
      <c r="D33" s="52">
        <f t="shared" si="1"/>
        <v>3.2920300374340902E-3</v>
      </c>
      <c r="E33" s="48">
        <f t="shared" si="2"/>
        <v>-3.1084703466522983E-4</v>
      </c>
      <c r="F33" s="48">
        <f t="shared" si="3"/>
        <v>-1.562311216187483E-4</v>
      </c>
      <c r="G33" s="48">
        <f t="shared" si="4"/>
        <v>3.4466459504805718E-3</v>
      </c>
      <c r="H33" s="30">
        <f t="shared" si="5"/>
        <v>0</v>
      </c>
    </row>
    <row r="34" spans="2:8" x14ac:dyDescent="0.25">
      <c r="B34" s="26">
        <v>31</v>
      </c>
      <c r="C34" s="52">
        <f t="shared" si="0"/>
        <v>0.82280279165842463</v>
      </c>
      <c r="D34" s="52">
        <f t="shared" si="1"/>
        <v>0.68512353629472578</v>
      </c>
      <c r="E34" s="48">
        <f t="shared" si="2"/>
        <v>-0.13767925536369885</v>
      </c>
      <c r="F34" s="48">
        <f t="shared" si="3"/>
        <v>-6.9197328880006653E-2</v>
      </c>
      <c r="G34" s="48">
        <f t="shared" si="4"/>
        <v>0.753605462778418</v>
      </c>
      <c r="H34" s="30">
        <f t="shared" si="5"/>
        <v>0</v>
      </c>
    </row>
    <row r="35" spans="2:8" x14ac:dyDescent="0.25">
      <c r="B35" s="26">
        <v>32</v>
      </c>
      <c r="C35" s="52">
        <f t="shared" si="0"/>
        <v>1.9535797704362808E-2</v>
      </c>
      <c r="D35" s="52">
        <f t="shared" si="1"/>
        <v>1.4563606306652922E-2</v>
      </c>
      <c r="E35" s="48">
        <f t="shared" si="2"/>
        <v>-4.9721913977098867E-3</v>
      </c>
      <c r="F35" s="48">
        <f t="shared" si="3"/>
        <v>-2.499013831043628E-3</v>
      </c>
      <c r="G35" s="48">
        <f t="shared" si="4"/>
        <v>1.7036783873319181E-2</v>
      </c>
      <c r="H35" s="30">
        <f t="shared" si="5"/>
        <v>0</v>
      </c>
    </row>
    <row r="36" spans="2:8" x14ac:dyDescent="0.25">
      <c r="B36" s="26">
        <v>33</v>
      </c>
      <c r="C36" s="52">
        <f t="shared" si="0"/>
        <v>0.13605621192601108</v>
      </c>
      <c r="D36" s="52">
        <f t="shared" si="1"/>
        <v>7.0763148414675126E-2</v>
      </c>
      <c r="E36" s="48">
        <f t="shared" si="2"/>
        <v>-6.5293063511335958E-2</v>
      </c>
      <c r="F36" s="48">
        <f t="shared" si="3"/>
        <v>-3.281616811074315E-2</v>
      </c>
      <c r="G36" s="48">
        <f t="shared" si="4"/>
        <v>0.10324004381526794</v>
      </c>
      <c r="H36" s="30">
        <f t="shared" si="5"/>
        <v>0</v>
      </c>
    </row>
    <row r="37" spans="2:8" x14ac:dyDescent="0.25">
      <c r="B37" s="26">
        <v>34</v>
      </c>
      <c r="C37" s="52">
        <f t="shared" si="0"/>
        <v>9.0950515996728487E-2</v>
      </c>
      <c r="D37" s="52">
        <f t="shared" si="1"/>
        <v>5.6069430808107633E-2</v>
      </c>
      <c r="E37" s="48">
        <f t="shared" si="2"/>
        <v>-3.4881085188620854E-2</v>
      </c>
      <c r="F37" s="48">
        <f t="shared" si="3"/>
        <v>-1.7531166311965163E-2</v>
      </c>
      <c r="G37" s="48">
        <f t="shared" si="4"/>
        <v>7.3419349684763324E-2</v>
      </c>
      <c r="H37" s="30">
        <f t="shared" si="5"/>
        <v>0</v>
      </c>
    </row>
    <row r="38" spans="2:8" x14ac:dyDescent="0.25">
      <c r="B38" s="26">
        <v>35</v>
      </c>
      <c r="C38" s="52">
        <f t="shared" si="0"/>
        <v>1.0290257258239199</v>
      </c>
      <c r="D38" s="52">
        <f t="shared" si="1"/>
        <v>0.95078684693100002</v>
      </c>
      <c r="E38" s="48">
        <f t="shared" si="2"/>
        <v>-7.8238878892919916E-2</v>
      </c>
      <c r="F38" s="48">
        <f t="shared" si="3"/>
        <v>-3.9322710016514592E-2</v>
      </c>
      <c r="G38" s="48">
        <f t="shared" si="4"/>
        <v>0.98970301580740538</v>
      </c>
      <c r="H38" s="30">
        <f t="shared" si="5"/>
        <v>0</v>
      </c>
    </row>
    <row r="39" spans="2:8" x14ac:dyDescent="0.25">
      <c r="B39" s="26">
        <v>36</v>
      </c>
      <c r="C39" s="52">
        <f t="shared" si="0"/>
        <v>9.0950515996728487E-2</v>
      </c>
      <c r="D39" s="52">
        <f t="shared" si="1"/>
        <v>5.6069430808107633E-2</v>
      </c>
      <c r="E39" s="48">
        <f t="shared" si="2"/>
        <v>-3.4881085188620854E-2</v>
      </c>
      <c r="F39" s="48">
        <f t="shared" si="3"/>
        <v>-1.7531166311965163E-2</v>
      </c>
      <c r="G39" s="48">
        <f t="shared" si="4"/>
        <v>7.3419349684763324E-2</v>
      </c>
      <c r="H39" s="30">
        <f t="shared" si="5"/>
        <v>0</v>
      </c>
    </row>
    <row r="40" spans="2:8" x14ac:dyDescent="0.25">
      <c r="B40" s="26">
        <v>37</v>
      </c>
      <c r="C40" s="52">
        <f t="shared" si="0"/>
        <v>0.58792408051231626</v>
      </c>
      <c r="D40" s="52">
        <f t="shared" si="1"/>
        <v>0.44571284137714501</v>
      </c>
      <c r="E40" s="48">
        <f t="shared" si="2"/>
        <v>-0.14221123913517125</v>
      </c>
      <c r="F40" s="48">
        <f t="shared" si="3"/>
        <v>-7.1475095204969766E-2</v>
      </c>
      <c r="G40" s="48">
        <f t="shared" si="4"/>
        <v>0.51644898530734651</v>
      </c>
      <c r="H40" s="30">
        <f t="shared" si="5"/>
        <v>0</v>
      </c>
    </row>
    <row r="41" spans="2:8" x14ac:dyDescent="0.25">
      <c r="B41" s="26">
        <v>38</v>
      </c>
      <c r="C41" s="52">
        <f t="shared" si="0"/>
        <v>9.0950515996728487E-2</v>
      </c>
      <c r="D41" s="52">
        <f t="shared" si="1"/>
        <v>5.6069430808107633E-2</v>
      </c>
      <c r="E41" s="48">
        <f t="shared" si="2"/>
        <v>-3.4881085188620854E-2</v>
      </c>
      <c r="F41" s="48">
        <f t="shared" si="3"/>
        <v>-1.7531166311965163E-2</v>
      </c>
      <c r="G41" s="48">
        <f t="shared" si="4"/>
        <v>7.3419349684763324E-2</v>
      </c>
      <c r="H41" s="30">
        <f t="shared" si="5"/>
        <v>0</v>
      </c>
    </row>
    <row r="42" spans="2:8" x14ac:dyDescent="0.25">
      <c r="B42" s="26">
        <v>39</v>
      </c>
      <c r="C42" s="52">
        <f t="shared" si="0"/>
        <v>0.11009404781577684</v>
      </c>
      <c r="D42" s="52">
        <f t="shared" si="1"/>
        <v>6.014929527512837E-2</v>
      </c>
      <c r="E42" s="48">
        <f t="shared" si="2"/>
        <v>-4.9944752540648465E-2</v>
      </c>
      <c r="F42" s="48">
        <f t="shared" si="3"/>
        <v>-2.510213654378201E-2</v>
      </c>
      <c r="G42" s="48">
        <f t="shared" si="4"/>
        <v>8.4991911271994819E-2</v>
      </c>
      <c r="H42" s="30">
        <f t="shared" si="5"/>
        <v>0</v>
      </c>
    </row>
    <row r="43" spans="2:8" x14ac:dyDescent="0.25">
      <c r="B43" s="26">
        <v>40</v>
      </c>
      <c r="C43" s="52">
        <f t="shared" si="0"/>
        <v>9.0950515996728487E-2</v>
      </c>
      <c r="D43" s="52">
        <f t="shared" si="1"/>
        <v>5.6069430808107633E-2</v>
      </c>
      <c r="E43" s="48">
        <f t="shared" si="2"/>
        <v>-3.4881085188620854E-2</v>
      </c>
      <c r="F43" s="48">
        <f t="shared" si="3"/>
        <v>-1.7531166311965163E-2</v>
      </c>
      <c r="G43" s="48">
        <f t="shared" si="4"/>
        <v>7.3419349684763324E-2</v>
      </c>
      <c r="H43" s="30">
        <f t="shared" si="5"/>
        <v>0</v>
      </c>
    </row>
    <row r="44" spans="2:8" x14ac:dyDescent="0.25">
      <c r="B44" s="26">
        <v>41</v>
      </c>
      <c r="C44" s="52">
        <f t="shared" si="0"/>
        <v>0.76626902234982497</v>
      </c>
      <c r="D44" s="52">
        <f t="shared" si="1"/>
        <v>0.64986432358583057</v>
      </c>
      <c r="E44" s="48">
        <f t="shared" si="2"/>
        <v>-0.1164046987639944</v>
      </c>
      <c r="F44" s="48">
        <f t="shared" si="3"/>
        <v>-5.8504777660745654E-2</v>
      </c>
      <c r="G44" s="48">
        <f t="shared" si="4"/>
        <v>0.70776424468907928</v>
      </c>
      <c r="H44" s="30">
        <f t="shared" si="5"/>
        <v>0</v>
      </c>
    </row>
    <row r="45" spans="2:8" x14ac:dyDescent="0.25">
      <c r="B45" s="26">
        <v>42</v>
      </c>
      <c r="C45" s="52">
        <f t="shared" si="0"/>
        <v>9.0950515996728487E-2</v>
      </c>
      <c r="D45" s="52">
        <f t="shared" si="1"/>
        <v>5.6069430808107633E-2</v>
      </c>
      <c r="E45" s="48">
        <f t="shared" si="2"/>
        <v>-3.4881085188620854E-2</v>
      </c>
      <c r="F45" s="48">
        <f t="shared" si="3"/>
        <v>-1.7531166311965163E-2</v>
      </c>
      <c r="G45" s="48">
        <f t="shared" si="4"/>
        <v>7.3419349684763324E-2</v>
      </c>
      <c r="H45" s="30">
        <f t="shared" si="5"/>
        <v>0</v>
      </c>
    </row>
    <row r="46" spans="2:8" x14ac:dyDescent="0.25">
      <c r="B46" s="26">
        <v>43</v>
      </c>
      <c r="C46" s="52">
        <f t="shared" si="0"/>
        <v>0.45362551647456517</v>
      </c>
      <c r="D46" s="52">
        <f t="shared" si="1"/>
        <v>0.28528173727691464</v>
      </c>
      <c r="E46" s="48">
        <f t="shared" si="2"/>
        <v>-0.16834377919765053</v>
      </c>
      <c r="F46" s="48">
        <f t="shared" si="3"/>
        <v>-8.4609259566887959E-2</v>
      </c>
      <c r="G46" s="48">
        <f t="shared" si="4"/>
        <v>0.3690162569076772</v>
      </c>
      <c r="H46" s="30">
        <f t="shared" si="5"/>
        <v>0</v>
      </c>
    </row>
    <row r="47" spans="2:8" x14ac:dyDescent="0.25">
      <c r="B47" s="26">
        <v>44</v>
      </c>
      <c r="C47" s="52">
        <f t="shared" si="0"/>
        <v>9.0950515996728487E-2</v>
      </c>
      <c r="D47" s="52">
        <f t="shared" si="1"/>
        <v>5.6069430808107633E-2</v>
      </c>
      <c r="E47" s="48">
        <f t="shared" si="2"/>
        <v>-3.4881085188620854E-2</v>
      </c>
      <c r="F47" s="48">
        <f t="shared" si="3"/>
        <v>-1.7531166311965163E-2</v>
      </c>
      <c r="G47" s="48">
        <f t="shared" si="4"/>
        <v>7.3419349684763324E-2</v>
      </c>
      <c r="H47" s="30">
        <f t="shared" si="5"/>
        <v>0</v>
      </c>
    </row>
    <row r="48" spans="2:8" x14ac:dyDescent="0.25">
      <c r="B48" s="26">
        <v>45</v>
      </c>
      <c r="C48" s="52">
        <f t="shared" si="0"/>
        <v>9.0976276916425139E-2</v>
      </c>
      <c r="D48" s="52">
        <f t="shared" si="1"/>
        <v>5.5974795488511517E-2</v>
      </c>
      <c r="E48" s="48">
        <f t="shared" si="2"/>
        <v>-3.5001481427913622E-2</v>
      </c>
      <c r="F48" s="48">
        <f t="shared" si="3"/>
        <v>-1.759167723021679E-2</v>
      </c>
      <c r="G48" s="48">
        <f t="shared" si="4"/>
        <v>7.3384599686208349E-2</v>
      </c>
      <c r="H48" s="30">
        <f t="shared" si="5"/>
        <v>0</v>
      </c>
    </row>
    <row r="49" spans="1:21" x14ac:dyDescent="0.25">
      <c r="B49" s="26">
        <v>46</v>
      </c>
      <c r="C49" s="52">
        <f t="shared" si="0"/>
        <v>9.0950515996728487E-2</v>
      </c>
      <c r="D49" s="52">
        <f t="shared" si="1"/>
        <v>5.6069430808107633E-2</v>
      </c>
      <c r="E49" s="48">
        <f t="shared" si="2"/>
        <v>-3.4881085188620854E-2</v>
      </c>
      <c r="F49" s="48">
        <f t="shared" si="3"/>
        <v>-1.7531166311965163E-2</v>
      </c>
      <c r="G49" s="48">
        <f t="shared" si="4"/>
        <v>7.3419349684763324E-2</v>
      </c>
      <c r="H49" s="30">
        <f t="shared" si="5"/>
        <v>0</v>
      </c>
    </row>
    <row r="50" spans="1:21" x14ac:dyDescent="0.25">
      <c r="B50" s="26">
        <v>47</v>
      </c>
      <c r="C50" s="52">
        <f t="shared" si="0"/>
        <v>0.58143321676267457</v>
      </c>
      <c r="D50" s="52">
        <f t="shared" si="1"/>
        <v>0.44928960665019158</v>
      </c>
      <c r="E50" s="48">
        <f t="shared" si="2"/>
        <v>-0.13214361011248299</v>
      </c>
      <c r="F50" s="48">
        <f t="shared" si="3"/>
        <v>-6.6415124226157057E-2</v>
      </c>
      <c r="G50" s="48">
        <f t="shared" si="4"/>
        <v>0.51501809253651754</v>
      </c>
      <c r="H50" s="30">
        <f t="shared" si="5"/>
        <v>0</v>
      </c>
    </row>
    <row r="51" spans="1:21" x14ac:dyDescent="0.25">
      <c r="B51" s="26">
        <v>48</v>
      </c>
      <c r="C51" s="52">
        <f t="shared" si="0"/>
        <v>9.0950515996728487E-2</v>
      </c>
      <c r="D51" s="52">
        <f t="shared" si="1"/>
        <v>5.6069430808107633E-2</v>
      </c>
      <c r="E51" s="48">
        <f t="shared" si="2"/>
        <v>-3.4881085188620854E-2</v>
      </c>
      <c r="F51" s="48">
        <f t="shared" si="3"/>
        <v>-1.7531166311965163E-2</v>
      </c>
      <c r="G51" s="48">
        <f t="shared" si="4"/>
        <v>7.3419349684763324E-2</v>
      </c>
      <c r="H51" s="30">
        <f t="shared" si="5"/>
        <v>0</v>
      </c>
    </row>
    <row r="52" spans="1:21" x14ac:dyDescent="0.25">
      <c r="B52" s="26">
        <v>49</v>
      </c>
      <c r="C52" s="52">
        <f t="shared" si="0"/>
        <v>0.33388586731319231</v>
      </c>
      <c r="D52" s="52">
        <f t="shared" si="1"/>
        <v>0.20472977887589594</v>
      </c>
      <c r="E52" s="48">
        <f t="shared" si="2"/>
        <v>-0.12915608843729637</v>
      </c>
      <c r="F52" s="48">
        <f t="shared" si="3"/>
        <v>-6.4913601579568547E-2</v>
      </c>
      <c r="G52" s="48">
        <f t="shared" si="4"/>
        <v>0.26897226573362376</v>
      </c>
      <c r="H52" s="30">
        <f t="shared" si="5"/>
        <v>0</v>
      </c>
    </row>
    <row r="53" spans="1:21" x14ac:dyDescent="0.25">
      <c r="B53" s="26">
        <v>50</v>
      </c>
      <c r="C53" s="52">
        <f t="shared" si="0"/>
        <v>9.0950515996728487E-2</v>
      </c>
      <c r="D53" s="52">
        <f t="shared" si="1"/>
        <v>5.6069430808107633E-2</v>
      </c>
      <c r="E53" s="48">
        <f t="shared" si="2"/>
        <v>-3.4881085188620854E-2</v>
      </c>
      <c r="F53" s="48">
        <f t="shared" si="3"/>
        <v>-1.7531166311965163E-2</v>
      </c>
      <c r="G53" s="48">
        <f t="shared" si="4"/>
        <v>7.3419349684763324E-2</v>
      </c>
      <c r="H53" s="30">
        <f t="shared" si="5"/>
        <v>0</v>
      </c>
    </row>
    <row r="54" spans="1:21" x14ac:dyDescent="0.25">
      <c r="E54" s="32"/>
      <c r="F54" s="32"/>
    </row>
    <row r="55" spans="1:21" x14ac:dyDescent="0.25">
      <c r="F55" s="26" t="s">
        <v>85</v>
      </c>
      <c r="G55" s="29">
        <f>IF(H4=0,0,100*H55/H4)</f>
        <v>0</v>
      </c>
      <c r="H55" s="29">
        <f>SQRT(SUMSQ(H5:H53))</f>
        <v>0</v>
      </c>
      <c r="I55" s="26" t="s">
        <v>52</v>
      </c>
    </row>
    <row r="56" spans="1:21" x14ac:dyDescent="0.25">
      <c r="F56" s="26" t="s">
        <v>86</v>
      </c>
      <c r="G56" s="29">
        <f>SQRT(SUMSQ(G4:G53))</f>
        <v>118.00712451564884</v>
      </c>
      <c r="H56" s="29">
        <f>SQRT(SUMSQ(H4:H53))</f>
        <v>0</v>
      </c>
      <c r="I56" s="26" t="s">
        <v>54</v>
      </c>
    </row>
    <row r="57" spans="1:21" x14ac:dyDescent="0.25">
      <c r="G57" s="26" t="s">
        <v>87</v>
      </c>
      <c r="H57" s="26" t="s">
        <v>13</v>
      </c>
    </row>
    <row r="59" spans="1:21" x14ac:dyDescent="0.25">
      <c r="A59" s="25" t="s">
        <v>63</v>
      </c>
    </row>
    <row r="60" spans="1:21" ht="14.4" x14ac:dyDescent="0.3">
      <c r="C60" s="1" t="s">
        <v>478</v>
      </c>
      <c r="D60" s="7">
        <f>100/D62</f>
        <v>1000</v>
      </c>
      <c r="E60" s="7">
        <f t="shared" ref="E60:U60" si="6">100/E62</f>
        <v>200</v>
      </c>
      <c r="F60" s="7">
        <f t="shared" si="6"/>
        <v>100</v>
      </c>
      <c r="G60" s="7">
        <f t="shared" si="6"/>
        <v>50</v>
      </c>
      <c r="H60" s="7">
        <f t="shared" si="6"/>
        <v>33.333333333333336</v>
      </c>
      <c r="I60" s="7">
        <f t="shared" si="6"/>
        <v>25</v>
      </c>
      <c r="J60" s="7">
        <f t="shared" si="6"/>
        <v>20</v>
      </c>
      <c r="K60" s="7">
        <f t="shared" si="6"/>
        <v>16.666666666666668</v>
      </c>
      <c r="L60" s="7">
        <f t="shared" si="6"/>
        <v>14.285714285714286</v>
      </c>
      <c r="M60" s="7">
        <f t="shared" si="6"/>
        <v>12.5</v>
      </c>
      <c r="N60" s="7">
        <f t="shared" si="6"/>
        <v>10</v>
      </c>
      <c r="O60" s="7">
        <f t="shared" si="6"/>
        <v>8.3333333333333339</v>
      </c>
      <c r="P60" s="7">
        <f t="shared" si="6"/>
        <v>7.1428571428571432</v>
      </c>
      <c r="Q60" s="7">
        <f t="shared" si="6"/>
        <v>5.5555555555555554</v>
      </c>
      <c r="R60" s="7">
        <f t="shared" si="6"/>
        <v>4.7619047619047619</v>
      </c>
      <c r="S60" s="7">
        <f t="shared" si="6"/>
        <v>1</v>
      </c>
      <c r="T60" s="7">
        <f t="shared" si="6"/>
        <v>0.1</v>
      </c>
      <c r="U60" s="7">
        <f t="shared" si="6"/>
        <v>0.01</v>
      </c>
    </row>
    <row r="61" spans="1:21" ht="14.4" x14ac:dyDescent="0.3">
      <c r="C61" s="1" t="s">
        <v>64</v>
      </c>
      <c r="D61">
        <v>0</v>
      </c>
      <c r="E61">
        <v>1</v>
      </c>
      <c r="F61">
        <v>2</v>
      </c>
      <c r="G61">
        <v>3</v>
      </c>
      <c r="H61">
        <v>4</v>
      </c>
      <c r="I61">
        <v>5</v>
      </c>
      <c r="J61">
        <v>6</v>
      </c>
      <c r="K61">
        <v>7</v>
      </c>
      <c r="L61">
        <v>8</v>
      </c>
      <c r="M61">
        <v>9</v>
      </c>
      <c r="N61">
        <v>10</v>
      </c>
      <c r="O61">
        <v>11</v>
      </c>
      <c r="P61">
        <v>12</v>
      </c>
      <c r="Q61">
        <v>13</v>
      </c>
      <c r="R61">
        <v>14</v>
      </c>
      <c r="S61">
        <v>15</v>
      </c>
      <c r="T61">
        <v>16</v>
      </c>
      <c r="U61">
        <v>17</v>
      </c>
    </row>
    <row r="62" spans="1:21" ht="14.4" x14ac:dyDescent="0.3">
      <c r="A62" s="26" t="s">
        <v>65</v>
      </c>
      <c r="B62" s="54"/>
      <c r="C62" s="216" t="s">
        <v>1</v>
      </c>
      <c r="D62" s="296">
        <v>0.1</v>
      </c>
      <c r="E62" s="296">
        <v>0.5</v>
      </c>
      <c r="F62" s="296">
        <v>1</v>
      </c>
      <c r="G62" s="296">
        <v>2</v>
      </c>
      <c r="H62" s="296">
        <v>3</v>
      </c>
      <c r="I62" s="296">
        <v>4</v>
      </c>
      <c r="J62" s="296">
        <v>5</v>
      </c>
      <c r="K62" s="296">
        <v>6</v>
      </c>
      <c r="L62" s="296">
        <v>7</v>
      </c>
      <c r="M62" s="296">
        <v>8</v>
      </c>
      <c r="N62" s="296">
        <v>10</v>
      </c>
      <c r="O62" s="296">
        <v>12</v>
      </c>
      <c r="P62" s="296">
        <v>14</v>
      </c>
      <c r="Q62" s="296">
        <v>18</v>
      </c>
      <c r="R62" s="296">
        <v>21</v>
      </c>
      <c r="S62" s="296">
        <v>100</v>
      </c>
      <c r="T62" s="296">
        <v>1000</v>
      </c>
      <c r="U62" s="296">
        <v>10000</v>
      </c>
    </row>
    <row r="63" spans="1:21" ht="14.4" x14ac:dyDescent="0.3">
      <c r="A63" s="31"/>
      <c r="C63" s="1" t="s">
        <v>64</v>
      </c>
      <c r="D63">
        <v>0</v>
      </c>
      <c r="E63">
        <v>1</v>
      </c>
      <c r="F63">
        <v>2</v>
      </c>
      <c r="G63">
        <v>3</v>
      </c>
      <c r="H63">
        <v>4</v>
      </c>
      <c r="I63">
        <v>5</v>
      </c>
      <c r="J63">
        <v>6</v>
      </c>
      <c r="K63">
        <v>7</v>
      </c>
      <c r="L63">
        <v>8</v>
      </c>
      <c r="M63">
        <v>9</v>
      </c>
      <c r="N63">
        <v>10</v>
      </c>
      <c r="O63">
        <v>11</v>
      </c>
      <c r="P63">
        <v>12</v>
      </c>
      <c r="Q63">
        <v>13</v>
      </c>
      <c r="R63">
        <v>14</v>
      </c>
      <c r="S63">
        <v>15</v>
      </c>
      <c r="T63">
        <v>16</v>
      </c>
      <c r="U63">
        <v>17</v>
      </c>
    </row>
    <row r="64" spans="1:21" ht="14.4" x14ac:dyDescent="0.3">
      <c r="A64" s="43">
        <v>2</v>
      </c>
      <c r="B64" s="43"/>
      <c r="C64" s="1"/>
      <c r="D64" s="298">
        <v>1.7291324964220301E-2</v>
      </c>
      <c r="E64" s="298">
        <v>6.6998018440489568E-2</v>
      </c>
      <c r="F64" s="298">
        <v>0.12416560747379798</v>
      </c>
      <c r="G64" s="298">
        <v>0.19164678959143519</v>
      </c>
      <c r="H64" s="298">
        <v>3.2432337711389723E-2</v>
      </c>
      <c r="I64" s="298">
        <v>2.6794917304969575E-2</v>
      </c>
      <c r="J64" s="298">
        <v>1.0787351058726545E-2</v>
      </c>
      <c r="K64" s="298">
        <v>1.5488830696511377E-2</v>
      </c>
      <c r="L64" s="298">
        <v>1.1120918013740941E-2</v>
      </c>
      <c r="M64" s="298">
        <v>1.2571907703050382E-2</v>
      </c>
      <c r="N64" s="298">
        <v>2.636287592484499E-2</v>
      </c>
      <c r="O64" s="298">
        <v>3.9068771982494086E-3</v>
      </c>
      <c r="P64" s="298">
        <v>1.783236037225493E-2</v>
      </c>
      <c r="Q64" s="298">
        <v>6.5715038062707058E-3</v>
      </c>
      <c r="R64" s="298">
        <v>5.7146036546192576E-3</v>
      </c>
      <c r="S64" s="298">
        <v>5.7146036546192576E-3</v>
      </c>
      <c r="T64" s="298">
        <v>5.7146036546192576E-3</v>
      </c>
      <c r="U64" s="298">
        <v>5.7146036546192576E-3</v>
      </c>
    </row>
    <row r="65" spans="1:21" ht="14.4" x14ac:dyDescent="0.3">
      <c r="A65" s="43">
        <v>3</v>
      </c>
      <c r="B65" s="43"/>
      <c r="C65" s="1"/>
      <c r="D65" s="298">
        <v>0.55385104430828935</v>
      </c>
      <c r="E65" s="298">
        <v>8.5473774716319078</v>
      </c>
      <c r="F65" s="298">
        <v>4.3857615521600959</v>
      </c>
      <c r="G65" s="298">
        <v>4.8916763402676038</v>
      </c>
      <c r="H65" s="298">
        <v>5.107248510230364</v>
      </c>
      <c r="I65" s="298">
        <v>6.2072885442798249</v>
      </c>
      <c r="J65" s="298">
        <v>7.7608557639223745</v>
      </c>
      <c r="K65" s="298">
        <v>5.1365577880102951</v>
      </c>
      <c r="L65" s="298">
        <v>3.7115343236794409</v>
      </c>
      <c r="M65" s="298">
        <v>2.8652501742303245</v>
      </c>
      <c r="N65" s="298">
        <v>1.976424393859703</v>
      </c>
      <c r="O65" s="298">
        <v>1.512989131711088</v>
      </c>
      <c r="P65" s="298">
        <v>1.2479844012146544</v>
      </c>
      <c r="Q65" s="298">
        <v>0.90186138282906037</v>
      </c>
      <c r="R65" s="298">
        <v>0.8611207071065603</v>
      </c>
      <c r="S65" s="298">
        <v>0.8611207071065603</v>
      </c>
      <c r="T65" s="298">
        <v>0.8611207071065603</v>
      </c>
      <c r="U65" s="298">
        <v>0.8611207071065603</v>
      </c>
    </row>
    <row r="66" spans="1:21" ht="14.4" x14ac:dyDescent="0.3">
      <c r="A66" s="43">
        <v>4</v>
      </c>
      <c r="B66" s="43"/>
      <c r="C66" s="1"/>
      <c r="D66" s="298">
        <v>0.13520250276733159</v>
      </c>
      <c r="E66" s="298">
        <v>2.8695360144102396E-2</v>
      </c>
      <c r="F66" s="298">
        <v>0.11237654569855723</v>
      </c>
      <c r="G66" s="298">
        <v>0.1270693443534559</v>
      </c>
      <c r="H66" s="298">
        <v>2.9673650735424224E-2</v>
      </c>
      <c r="I66" s="298">
        <v>2.1212221057019379E-2</v>
      </c>
      <c r="J66" s="298">
        <v>1.8916758051922035E-2</v>
      </c>
      <c r="K66" s="298">
        <v>2.4591818946340816E-2</v>
      </c>
      <c r="L66" s="298">
        <v>2.2309871990685983E-2</v>
      </c>
      <c r="M66" s="298">
        <v>1.4672119245636975E-2</v>
      </c>
      <c r="N66" s="298">
        <v>3.4977738354405041E-3</v>
      </c>
      <c r="O66" s="298">
        <v>3.318391374383355E-3</v>
      </c>
      <c r="P66" s="298">
        <v>1.8380050856337499E-2</v>
      </c>
      <c r="Q66" s="298">
        <v>5.7240454854559945E-3</v>
      </c>
      <c r="R66" s="298">
        <v>1.5847873572736098E-3</v>
      </c>
      <c r="S66" s="298">
        <v>1.5847873572736098E-3</v>
      </c>
      <c r="T66" s="298">
        <v>1.5847873572736098E-3</v>
      </c>
      <c r="U66" s="298">
        <v>1.5847873572736098E-3</v>
      </c>
    </row>
    <row r="67" spans="1:21" ht="14.4" x14ac:dyDescent="0.3">
      <c r="A67" s="43">
        <v>5</v>
      </c>
      <c r="B67" s="43"/>
      <c r="C67" s="1"/>
      <c r="D67" s="298">
        <v>93.368748010282204</v>
      </c>
      <c r="E67" s="298">
        <v>82.87682728374898</v>
      </c>
      <c r="F67" s="298">
        <v>73.247221838386295</v>
      </c>
      <c r="G67" s="298">
        <v>60.831459052554194</v>
      </c>
      <c r="H67" s="298">
        <v>49.382828970020235</v>
      </c>
      <c r="I67" s="298">
        <v>41.72752692184784</v>
      </c>
      <c r="J67" s="298">
        <v>37.27946499417164</v>
      </c>
      <c r="K67" s="298">
        <v>34.240442443062605</v>
      </c>
      <c r="L67" s="298">
        <v>31.801834469310585</v>
      </c>
      <c r="M67" s="298">
        <v>29.833911528390878</v>
      </c>
      <c r="N67" s="298">
        <v>26.829447444032468</v>
      </c>
      <c r="O67" s="298">
        <v>24.524377947577921</v>
      </c>
      <c r="P67" s="298">
        <v>22.666145948519805</v>
      </c>
      <c r="Q67" s="298">
        <v>19.683481307529799</v>
      </c>
      <c r="R67" s="298">
        <v>19.55420880107971</v>
      </c>
      <c r="S67" s="298">
        <v>19.55420880107971</v>
      </c>
      <c r="T67" s="298">
        <v>19.55420880107971</v>
      </c>
      <c r="U67" s="298">
        <v>19.55420880107971</v>
      </c>
    </row>
    <row r="68" spans="1:21" ht="14.4" x14ac:dyDescent="0.3">
      <c r="A68" s="43">
        <v>6</v>
      </c>
      <c r="B68" s="43"/>
      <c r="C68" s="1"/>
      <c r="D68" s="298">
        <v>6.8818496078623531E-2</v>
      </c>
      <c r="E68" s="298">
        <v>5.2936191485114158E-2</v>
      </c>
      <c r="F68" s="298">
        <v>7.0102641631974985E-3</v>
      </c>
      <c r="G68" s="298">
        <v>1.1862351899176933E-2</v>
      </c>
      <c r="H68" s="298">
        <v>1.9222702695116914E-3</v>
      </c>
      <c r="I68" s="298">
        <v>1.1087146410300954E-2</v>
      </c>
      <c r="J68" s="298">
        <v>6.7285132893848583E-3</v>
      </c>
      <c r="K68" s="298">
        <v>4.5194792975590103E-3</v>
      </c>
      <c r="L68" s="298">
        <v>6.0169639857389576E-3</v>
      </c>
      <c r="M68" s="298">
        <v>7.3330327729595772E-3</v>
      </c>
      <c r="N68" s="298">
        <v>4.9368015428742544E-3</v>
      </c>
      <c r="O68" s="298">
        <v>2.1005572354824645E-3</v>
      </c>
      <c r="P68" s="298">
        <v>9.2816222816082712E-3</v>
      </c>
      <c r="Q68" s="298">
        <v>3.8021989595571734E-3</v>
      </c>
      <c r="R68" s="298">
        <v>2.6949365909897677E-3</v>
      </c>
      <c r="S68" s="298">
        <v>2.6949365909897677E-3</v>
      </c>
      <c r="T68" s="298">
        <v>2.6949365909897677E-3</v>
      </c>
      <c r="U68" s="298">
        <v>2.6949365909897677E-3</v>
      </c>
    </row>
    <row r="69" spans="1:21" ht="14.4" x14ac:dyDescent="0.3">
      <c r="A69" s="43">
        <v>7</v>
      </c>
      <c r="B69" s="43"/>
      <c r="C69" s="1"/>
      <c r="D69" s="298">
        <v>85.792929223620419</v>
      </c>
      <c r="E69" s="298">
        <v>65.67536665068971</v>
      </c>
      <c r="F69" s="298">
        <v>52.471101352240538</v>
      </c>
      <c r="G69" s="298">
        <v>34.473926081721721</v>
      </c>
      <c r="H69" s="298">
        <v>20.70483242585701</v>
      </c>
      <c r="I69" s="298">
        <v>13.8859457017344</v>
      </c>
      <c r="J69" s="298">
        <v>10.407370469722119</v>
      </c>
      <c r="K69" s="298">
        <v>8.4234250472584673</v>
      </c>
      <c r="L69" s="298">
        <v>7.3447486655802345</v>
      </c>
      <c r="M69" s="298">
        <v>6.8022663683683335</v>
      </c>
      <c r="N69" s="298">
        <v>6.5166708279323533</v>
      </c>
      <c r="O69" s="298">
        <v>6.6273860488121423</v>
      </c>
      <c r="P69" s="298">
        <v>6.8022403042729351</v>
      </c>
      <c r="Q69" s="298">
        <v>6.987229811341364</v>
      </c>
      <c r="R69" s="298">
        <v>7.326010337515557</v>
      </c>
      <c r="S69" s="298">
        <v>7.326010337515557</v>
      </c>
      <c r="T69" s="298">
        <v>7.326010337515557</v>
      </c>
      <c r="U69" s="298">
        <v>7.326010337515557</v>
      </c>
    </row>
    <row r="70" spans="1:21" ht="14.4" x14ac:dyDescent="0.3">
      <c r="A70" s="43">
        <v>8</v>
      </c>
      <c r="B70" s="43"/>
      <c r="C70" s="1"/>
      <c r="D70" s="298">
        <v>0.15207091572872264</v>
      </c>
      <c r="E70" s="298">
        <v>5.2891824469196221E-2</v>
      </c>
      <c r="F70" s="298">
        <v>5.7040082585237739E-2</v>
      </c>
      <c r="G70" s="298">
        <v>1.9116049168177565E-2</v>
      </c>
      <c r="H70" s="298">
        <v>2.3564987660073828E-2</v>
      </c>
      <c r="I70" s="298">
        <v>8.5355102461392024E-3</v>
      </c>
      <c r="J70" s="298">
        <v>1.9603945043945102E-2</v>
      </c>
      <c r="K70" s="298">
        <v>1.2636657164619786E-2</v>
      </c>
      <c r="L70" s="298">
        <v>1.0643351525778579E-2</v>
      </c>
      <c r="M70" s="298">
        <v>4.3473848598230228E-3</v>
      </c>
      <c r="N70" s="298">
        <v>2.5415807506222721E-3</v>
      </c>
      <c r="O70" s="298">
        <v>1.2216655309818655E-3</v>
      </c>
      <c r="P70" s="298">
        <v>6.4595461603830819E-3</v>
      </c>
      <c r="Q70" s="298">
        <v>1.3983813924981661E-3</v>
      </c>
      <c r="R70" s="298">
        <v>3.4056178014729927E-3</v>
      </c>
      <c r="S70" s="298">
        <v>3.4056178014729927E-3</v>
      </c>
      <c r="T70" s="298">
        <v>3.4056178014729927E-3</v>
      </c>
      <c r="U70" s="298">
        <v>3.4056178014729927E-3</v>
      </c>
    </row>
    <row r="71" spans="1:21" ht="14.4" x14ac:dyDescent="0.3">
      <c r="A71" s="43">
        <v>9</v>
      </c>
      <c r="B71" s="43"/>
      <c r="C71" s="1"/>
      <c r="D71" s="298">
        <v>1.154353524821659</v>
      </c>
      <c r="E71" s="298">
        <v>3.5914593530271834</v>
      </c>
      <c r="F71" s="298">
        <v>0.66156600737101889</v>
      </c>
      <c r="G71" s="298">
        <v>0.60368769264829547</v>
      </c>
      <c r="H71" s="298">
        <v>0.42447764331950832</v>
      </c>
      <c r="I71" s="298">
        <v>1.0648962156533353</v>
      </c>
      <c r="J71" s="298">
        <v>1.5532650518305111</v>
      </c>
      <c r="K71" s="298">
        <v>0.98716445545758624</v>
      </c>
      <c r="L71" s="298">
        <v>0.68104076968532634</v>
      </c>
      <c r="M71" s="298">
        <v>0.50610374236669098</v>
      </c>
      <c r="N71" s="298">
        <v>0.31868142208094846</v>
      </c>
      <c r="O71" s="298">
        <v>0.22626624756676589</v>
      </c>
      <c r="P71" s="298">
        <v>0.1789795622711387</v>
      </c>
      <c r="Q71" s="298">
        <v>0.13966052871548112</v>
      </c>
      <c r="R71" s="298">
        <v>0.13247290047204982</v>
      </c>
      <c r="S71" s="298">
        <v>0.13247290047204982</v>
      </c>
      <c r="T71" s="298">
        <v>0.13247290047204982</v>
      </c>
      <c r="U71" s="298">
        <v>0.13247290047204982</v>
      </c>
    </row>
    <row r="72" spans="1:21" ht="14.4" x14ac:dyDescent="0.3">
      <c r="A72" s="43">
        <v>10</v>
      </c>
      <c r="B72" s="43"/>
      <c r="C72" s="1"/>
      <c r="D72" s="298">
        <v>0.2294007148283545</v>
      </c>
      <c r="E72" s="298">
        <v>4.67408371331944E-2</v>
      </c>
      <c r="F72" s="298">
        <v>3.9171017790739594E-2</v>
      </c>
      <c r="G72" s="298">
        <v>3.1896110289054799E-2</v>
      </c>
      <c r="H72" s="298">
        <v>9.7072760067846587E-3</v>
      </c>
      <c r="I72" s="298">
        <v>1.3760275349404955E-2</v>
      </c>
      <c r="J72" s="298">
        <v>1.2351163020258928E-2</v>
      </c>
      <c r="K72" s="298">
        <v>7.8770677291336265E-3</v>
      </c>
      <c r="L72" s="298">
        <v>6.6241460677741474E-3</v>
      </c>
      <c r="M72" s="298">
        <v>9.5446111698385379E-4</v>
      </c>
      <c r="N72" s="298">
        <v>5.9000829249238182E-3</v>
      </c>
      <c r="O72" s="298">
        <v>2.8410236973985879E-3</v>
      </c>
      <c r="P72" s="298">
        <v>3.0933034144878684E-3</v>
      </c>
      <c r="Q72" s="298">
        <v>1.7024651539385351E-3</v>
      </c>
      <c r="R72" s="298">
        <v>3.8405411483555876E-3</v>
      </c>
      <c r="S72" s="298">
        <v>3.8405411483555876E-3</v>
      </c>
      <c r="T72" s="298">
        <v>3.8405411483555876E-3</v>
      </c>
      <c r="U72" s="298">
        <v>3.8405411483555876E-3</v>
      </c>
    </row>
    <row r="73" spans="1:21" ht="14.4" x14ac:dyDescent="0.3">
      <c r="A73" s="43">
        <v>11</v>
      </c>
      <c r="B73" s="43"/>
      <c r="C73" s="1"/>
      <c r="D73" s="298">
        <v>69.048567707776243</v>
      </c>
      <c r="E73" s="298">
        <v>33.685348584817774</v>
      </c>
      <c r="F73" s="298">
        <v>15.583787301158949</v>
      </c>
      <c r="G73" s="298">
        <v>6.5636008603412694</v>
      </c>
      <c r="H73" s="298">
        <v>7.6797975872700235</v>
      </c>
      <c r="I73" s="298">
        <v>7.4570840283088478</v>
      </c>
      <c r="J73" s="298">
        <v>6.9055670232180777</v>
      </c>
      <c r="K73" s="298">
        <v>6.5341193000171698</v>
      </c>
      <c r="L73" s="298">
        <v>6.0786150094839924</v>
      </c>
      <c r="M73" s="298">
        <v>5.6151234987755405</v>
      </c>
      <c r="N73" s="298">
        <v>4.7731220793376856</v>
      </c>
      <c r="O73" s="298">
        <v>4.037747204995374</v>
      </c>
      <c r="P73" s="298">
        <v>3.4442053406397228</v>
      </c>
      <c r="Q73" s="298">
        <v>2.6571079286057731</v>
      </c>
      <c r="R73" s="298">
        <v>2.6319335627413896</v>
      </c>
      <c r="S73" s="298">
        <v>2.6319335627413896</v>
      </c>
      <c r="T73" s="298">
        <v>2.6319335627413896</v>
      </c>
      <c r="U73" s="298">
        <v>2.6319335627413896</v>
      </c>
    </row>
    <row r="74" spans="1:21" ht="14.4" x14ac:dyDescent="0.3">
      <c r="A74" s="43">
        <v>12</v>
      </c>
      <c r="B74" s="43"/>
      <c r="C74" s="1"/>
      <c r="D74" s="298">
        <v>4.3926126021925166E-2</v>
      </c>
      <c r="E74" s="298">
        <v>1.2877494467594758E-2</v>
      </c>
      <c r="F74" s="298">
        <v>4.5954157397374695E-3</v>
      </c>
      <c r="G74" s="298">
        <v>5.329225146697902E-3</v>
      </c>
      <c r="H74" s="298">
        <v>1.7455825337836627E-3</v>
      </c>
      <c r="I74" s="298">
        <v>6.1922252654432195E-3</v>
      </c>
      <c r="J74" s="298">
        <v>4.6340307760456886E-3</v>
      </c>
      <c r="K74" s="298">
        <v>1.2658928420938899E-3</v>
      </c>
      <c r="L74" s="298">
        <v>7.2345470714335765E-4</v>
      </c>
      <c r="M74" s="298">
        <v>2.8137542278655172E-3</v>
      </c>
      <c r="N74" s="298">
        <v>3.3387817150023614E-3</v>
      </c>
      <c r="O74" s="298">
        <v>7.0415228820549169E-4</v>
      </c>
      <c r="P74" s="298">
        <v>3.2866827675993235E-3</v>
      </c>
      <c r="Q74" s="298">
        <v>2.129932191298423E-3</v>
      </c>
      <c r="R74" s="298">
        <v>3.0726078205235829E-3</v>
      </c>
      <c r="S74" s="298">
        <v>3.0726078205235829E-3</v>
      </c>
      <c r="T74" s="298">
        <v>3.0726078205235829E-3</v>
      </c>
      <c r="U74" s="298">
        <v>3.0726078205235829E-3</v>
      </c>
    </row>
    <row r="75" spans="1:21" ht="14.4" x14ac:dyDescent="0.3">
      <c r="A75" s="43">
        <v>13</v>
      </c>
      <c r="B75" s="43"/>
      <c r="C75" s="1"/>
      <c r="D75" s="298">
        <v>57.626071680473594</v>
      </c>
      <c r="E75" s="298">
        <v>19.008833408591933</v>
      </c>
      <c r="F75" s="298">
        <v>6.0811074483745449</v>
      </c>
      <c r="G75" s="298">
        <v>6.4203508662030933</v>
      </c>
      <c r="H75" s="298">
        <v>4.053836065316168</v>
      </c>
      <c r="I75" s="298">
        <v>3.136813925533426</v>
      </c>
      <c r="J75" s="298">
        <v>3.2687886565984781</v>
      </c>
      <c r="K75" s="298">
        <v>3.1927019928471165</v>
      </c>
      <c r="L75" s="298">
        <v>3.1590323561450395</v>
      </c>
      <c r="M75" s="298">
        <v>3.1114405010378423</v>
      </c>
      <c r="N75" s="298">
        <v>2.9413990501469054</v>
      </c>
      <c r="O75" s="298">
        <v>2.6891381919916104</v>
      </c>
      <c r="P75" s="298">
        <v>2.4129113867682368</v>
      </c>
      <c r="Q75" s="298">
        <v>1.9019132140355048</v>
      </c>
      <c r="R75" s="298">
        <v>1.9731316672454773</v>
      </c>
      <c r="S75" s="298">
        <v>1.9731316672454773</v>
      </c>
      <c r="T75" s="298">
        <v>1.9731316672454773</v>
      </c>
      <c r="U75" s="298">
        <v>1.9731316672454773</v>
      </c>
    </row>
    <row r="76" spans="1:21" ht="14.4" x14ac:dyDescent="0.3">
      <c r="A76" s="43">
        <v>14</v>
      </c>
      <c r="B76" s="43"/>
      <c r="C76" s="1"/>
      <c r="D76" s="298">
        <v>0.20927403927484672</v>
      </c>
      <c r="E76" s="298">
        <v>5.5602611265487843E-2</v>
      </c>
      <c r="F76" s="298">
        <v>4.0150680983375708E-2</v>
      </c>
      <c r="G76" s="298">
        <v>1.1364022598705132E-2</v>
      </c>
      <c r="H76" s="298">
        <v>1.5808693433503308E-2</v>
      </c>
      <c r="I76" s="298">
        <v>1.1300571663228018E-2</v>
      </c>
      <c r="J76" s="298">
        <v>1.3986444352451872E-2</v>
      </c>
      <c r="K76" s="298">
        <v>1.3726550136797936E-2</v>
      </c>
      <c r="L76" s="298">
        <v>1.2922710779955417E-2</v>
      </c>
      <c r="M76" s="298">
        <v>6.7573395777536377E-3</v>
      </c>
      <c r="N76" s="298">
        <v>6.0541163970223889E-3</v>
      </c>
      <c r="O76" s="298">
        <v>8.8566143641728831E-4</v>
      </c>
      <c r="P76" s="298">
        <v>4.5856434142929501E-3</v>
      </c>
      <c r="Q76" s="298">
        <v>2.3769049086772155E-3</v>
      </c>
      <c r="R76" s="298">
        <v>2.1687917940923906E-3</v>
      </c>
      <c r="S76" s="298">
        <v>2.1687917940923906E-3</v>
      </c>
      <c r="T76" s="298">
        <v>2.1687917940923906E-3</v>
      </c>
      <c r="U76" s="298">
        <v>2.1687917940923906E-3</v>
      </c>
    </row>
    <row r="77" spans="1:21" ht="14.4" x14ac:dyDescent="0.3">
      <c r="A77" s="43">
        <v>15</v>
      </c>
      <c r="B77" s="43"/>
      <c r="C77" s="1"/>
      <c r="D77" s="298">
        <v>1.136851568371505</v>
      </c>
      <c r="E77" s="298">
        <v>0.23095610968918576</v>
      </c>
      <c r="F77" s="298">
        <v>0.45935010470309795</v>
      </c>
      <c r="G77" s="298">
        <v>0.33979479464125767</v>
      </c>
      <c r="H77" s="298">
        <v>0.19877874639876153</v>
      </c>
      <c r="I77" s="298">
        <v>0.6117370588990978</v>
      </c>
      <c r="J77" s="298">
        <v>0.7739736036483279</v>
      </c>
      <c r="K77" s="298">
        <v>0.47689818111624066</v>
      </c>
      <c r="L77" s="298">
        <v>0.32445444976062632</v>
      </c>
      <c r="M77" s="298">
        <v>0.24590737646040681</v>
      </c>
      <c r="N77" s="298">
        <v>0.17863761703347875</v>
      </c>
      <c r="O77" s="298">
        <v>0.15238590146764369</v>
      </c>
      <c r="P77" s="298">
        <v>0.13879587874692803</v>
      </c>
      <c r="Q77" s="298">
        <v>0.10849930149243135</v>
      </c>
      <c r="R77" s="298">
        <v>0.10438708261063094</v>
      </c>
      <c r="S77" s="298">
        <v>0.10438708261063094</v>
      </c>
      <c r="T77" s="298">
        <v>0.10438708261063094</v>
      </c>
      <c r="U77" s="298">
        <v>0.10438708261063094</v>
      </c>
    </row>
    <row r="78" spans="1:21" ht="14.4" x14ac:dyDescent="0.3">
      <c r="A78" s="43">
        <v>16</v>
      </c>
      <c r="B78" s="43"/>
      <c r="C78" s="1"/>
      <c r="D78" s="298">
        <v>0.21260480542905863</v>
      </c>
      <c r="E78" s="298">
        <v>5.5251059810874539E-2</v>
      </c>
      <c r="F78" s="298">
        <v>2.9549060045343564E-2</v>
      </c>
      <c r="G78" s="298">
        <v>1.9149260351853523E-2</v>
      </c>
      <c r="H78" s="298">
        <v>8.8894084206710914E-3</v>
      </c>
      <c r="I78" s="298">
        <v>9.8004503653837914E-3</v>
      </c>
      <c r="J78" s="298">
        <v>9.3355107602731344E-3</v>
      </c>
      <c r="K78" s="298">
        <v>1.1176506405604431E-2</v>
      </c>
      <c r="L78" s="298">
        <v>1.0797812516310075E-2</v>
      </c>
      <c r="M78" s="298">
        <v>4.9258459762198314E-3</v>
      </c>
      <c r="N78" s="298">
        <v>1.5412362332936629E-3</v>
      </c>
      <c r="O78" s="298">
        <v>1.7707278526791228E-3</v>
      </c>
      <c r="P78" s="298">
        <v>3.8905467511792919E-3</v>
      </c>
      <c r="Q78" s="298">
        <v>3.1270051788819786E-3</v>
      </c>
      <c r="R78" s="298">
        <v>2.7546885466757905E-3</v>
      </c>
      <c r="S78" s="298">
        <v>2.7546885466757905E-3</v>
      </c>
      <c r="T78" s="298">
        <v>2.7546885466757905E-3</v>
      </c>
      <c r="U78" s="298">
        <v>2.7546885466757905E-3</v>
      </c>
    </row>
    <row r="79" spans="1:21" ht="14.4" x14ac:dyDescent="0.3">
      <c r="A79" s="43">
        <v>17</v>
      </c>
      <c r="B79" s="43"/>
      <c r="C79" s="1"/>
      <c r="D79" s="299">
        <v>38.305868434141544</v>
      </c>
      <c r="E79" s="298">
        <v>5.2999903687276673</v>
      </c>
      <c r="F79" s="298">
        <v>6.2578007441416821</v>
      </c>
      <c r="G79" s="299">
        <v>3.651615692351549</v>
      </c>
      <c r="H79" s="299">
        <v>3.9361368606820331</v>
      </c>
      <c r="I79" s="299">
        <v>3.5365888642625669</v>
      </c>
      <c r="J79" s="298">
        <v>2.7954962272937816</v>
      </c>
      <c r="K79" s="298">
        <v>2.4617473384512585</v>
      </c>
      <c r="L79" s="298">
        <v>2.1281057585635259</v>
      </c>
      <c r="M79" s="298">
        <v>1.850567348179557</v>
      </c>
      <c r="N79" s="299">
        <v>1.5324828885585096</v>
      </c>
      <c r="O79" s="298">
        <v>1.4251739565426205</v>
      </c>
      <c r="P79" s="298">
        <v>1.4117622874341469</v>
      </c>
      <c r="Q79" s="298">
        <v>1.3485789449567889</v>
      </c>
      <c r="R79" s="298">
        <v>1.3516864824509252</v>
      </c>
      <c r="S79" s="298">
        <v>1.3516864824509252</v>
      </c>
      <c r="T79" s="298">
        <v>1.3516864824509252</v>
      </c>
      <c r="U79" s="298">
        <v>1.3516864824509252</v>
      </c>
    </row>
    <row r="80" spans="1:21" ht="14.4" x14ac:dyDescent="0.3">
      <c r="A80" s="43">
        <v>18</v>
      </c>
      <c r="B80" s="43"/>
      <c r="C80" s="1"/>
      <c r="D80" s="298">
        <v>6.8073317161051342E-3</v>
      </c>
      <c r="E80" s="298">
        <v>4.4855023970696963E-3</v>
      </c>
      <c r="F80" s="298">
        <v>3.7080452251308581E-3</v>
      </c>
      <c r="G80" s="298">
        <v>4.1891794258732719E-3</v>
      </c>
      <c r="H80" s="298">
        <v>2.5800652861531514E-3</v>
      </c>
      <c r="I80" s="298">
        <v>5.1323452366736095E-3</v>
      </c>
      <c r="J80" s="298">
        <v>3.2624660891922676E-3</v>
      </c>
      <c r="K80" s="298">
        <v>9.7248963017647263E-4</v>
      </c>
      <c r="L80" s="298">
        <v>5.3824967182370125E-4</v>
      </c>
      <c r="M80" s="298">
        <v>3.4207800467921257E-3</v>
      </c>
      <c r="N80" s="298">
        <v>2.3022193218101682E-3</v>
      </c>
      <c r="O80" s="298">
        <v>7.1766985210155283E-4</v>
      </c>
      <c r="P80" s="298">
        <v>1.6747979107749516E-3</v>
      </c>
      <c r="Q80" s="298">
        <v>1.0243399597807483E-3</v>
      </c>
      <c r="R80" s="298">
        <v>2.7645882744071495E-3</v>
      </c>
      <c r="S80" s="298">
        <v>2.7645882744071495E-3</v>
      </c>
      <c r="T80" s="298">
        <v>2.7645882744071495E-3</v>
      </c>
      <c r="U80" s="298">
        <v>2.7645882744071495E-3</v>
      </c>
    </row>
    <row r="81" spans="1:21" ht="14.4" x14ac:dyDescent="0.3">
      <c r="A81" s="43">
        <v>19</v>
      </c>
      <c r="B81" s="43"/>
      <c r="C81" s="1"/>
      <c r="D81" s="298">
        <v>28.12675018493254</v>
      </c>
      <c r="E81" s="298">
        <v>5.7694235730205383</v>
      </c>
      <c r="F81" s="298">
        <v>4.4923444139523241</v>
      </c>
      <c r="G81" s="298">
        <v>2.461818140179882</v>
      </c>
      <c r="H81" s="298">
        <v>1.5612033953483941</v>
      </c>
      <c r="I81" s="298">
        <v>1.435344927819425</v>
      </c>
      <c r="J81" s="298">
        <v>1.8152549557696753</v>
      </c>
      <c r="K81" s="298">
        <v>1.7533389509717254</v>
      </c>
      <c r="L81" s="298">
        <v>1.6441205577377018</v>
      </c>
      <c r="M81" s="298">
        <v>1.5015094716885002</v>
      </c>
      <c r="N81" s="298">
        <v>1.1978760529333901</v>
      </c>
      <c r="O81" s="298">
        <v>0.96493434637770215</v>
      </c>
      <c r="P81" s="298">
        <v>0.86230538911097832</v>
      </c>
      <c r="Q81" s="298">
        <v>0.87143134542122158</v>
      </c>
      <c r="R81" s="298">
        <v>0.89423887387252965</v>
      </c>
      <c r="S81" s="298">
        <v>0.89423887387252965</v>
      </c>
      <c r="T81" s="298">
        <v>0.89423887387252965</v>
      </c>
      <c r="U81" s="298">
        <v>0.89423887387252965</v>
      </c>
    </row>
    <row r="82" spans="1:21" ht="14.4" x14ac:dyDescent="0.3">
      <c r="A82" s="43">
        <v>20</v>
      </c>
      <c r="B82" s="43"/>
      <c r="C82" s="1"/>
      <c r="D82" s="298">
        <v>0.16228025606892954</v>
      </c>
      <c r="E82" s="298">
        <v>3.4304595434386999E-2</v>
      </c>
      <c r="F82" s="298">
        <v>3.603503131369204E-2</v>
      </c>
      <c r="G82" s="298">
        <v>1.3414457398225953E-2</v>
      </c>
      <c r="H82" s="298">
        <v>1.3820648138552563E-2</v>
      </c>
      <c r="I82" s="298">
        <v>1.2553645285502412E-2</v>
      </c>
      <c r="J82" s="298">
        <v>1.1519216055600136E-2</v>
      </c>
      <c r="K82" s="298">
        <v>1.2482583619361326E-2</v>
      </c>
      <c r="L82" s="298">
        <v>1.0659586926913772E-2</v>
      </c>
      <c r="M82" s="298">
        <v>3.9990621565117561E-3</v>
      </c>
      <c r="N82" s="298">
        <v>4.289924599988241E-3</v>
      </c>
      <c r="O82" s="298">
        <v>2.3631359410929234E-3</v>
      </c>
      <c r="P82" s="298">
        <v>2.0372139828744758E-3</v>
      </c>
      <c r="Q82" s="298">
        <v>2.6099379219788315E-3</v>
      </c>
      <c r="R82" s="298">
        <v>3.3164014470484933E-3</v>
      </c>
      <c r="S82" s="298">
        <v>3.3164014470484933E-3</v>
      </c>
      <c r="T82" s="298">
        <v>3.3164014470484933E-3</v>
      </c>
      <c r="U82" s="298">
        <v>3.3164014470484933E-3</v>
      </c>
    </row>
    <row r="83" spans="1:21" ht="14.4" x14ac:dyDescent="0.3">
      <c r="A83" s="43">
        <v>21</v>
      </c>
      <c r="B83" s="43"/>
      <c r="C83" s="1"/>
      <c r="D83" s="298">
        <v>0.62329316321319206</v>
      </c>
      <c r="E83" s="298">
        <v>0.38652912360520963</v>
      </c>
      <c r="F83" s="298">
        <v>0.28848587809075404</v>
      </c>
      <c r="G83" s="298">
        <v>0.2327624797312611</v>
      </c>
      <c r="H83" s="298">
        <v>0.12695962714013889</v>
      </c>
      <c r="I83" s="298">
        <v>0.43156831387325317</v>
      </c>
      <c r="J83" s="298">
        <v>0.51232861946084751</v>
      </c>
      <c r="K83" s="298">
        <v>0.33639919482821595</v>
      </c>
      <c r="L83" s="298">
        <v>0.24976274080004948</v>
      </c>
      <c r="M83" s="298">
        <v>0.20143664947276263</v>
      </c>
      <c r="N83" s="298">
        <v>0.14886071320433725</v>
      </c>
      <c r="O83" s="298">
        <v>0.11057082122039739</v>
      </c>
      <c r="P83" s="298">
        <v>8.69095877563483E-2</v>
      </c>
      <c r="Q83" s="298">
        <v>6.469840401868561E-2</v>
      </c>
      <c r="R83" s="298">
        <v>6.207334554446476E-2</v>
      </c>
      <c r="S83" s="298">
        <v>6.207334554446476E-2</v>
      </c>
      <c r="T83" s="298">
        <v>6.207334554446476E-2</v>
      </c>
      <c r="U83" s="298">
        <v>6.207334554446476E-2</v>
      </c>
    </row>
    <row r="84" spans="1:21" ht="14.4" x14ac:dyDescent="0.3">
      <c r="A84" s="43">
        <v>22</v>
      </c>
      <c r="B84" s="43"/>
      <c r="C84" s="1"/>
      <c r="D84" s="298">
        <v>0.10196628651957353</v>
      </c>
      <c r="E84" s="298">
        <v>3.8702088424270906E-2</v>
      </c>
      <c r="F84" s="298">
        <v>3.2940823141321553E-2</v>
      </c>
      <c r="G84" s="298">
        <v>1.4397088226243407E-2</v>
      </c>
      <c r="H84" s="298">
        <v>8.0433131135157904E-3</v>
      </c>
      <c r="I84" s="298">
        <v>9.1411482785596215E-3</v>
      </c>
      <c r="J84" s="298">
        <v>1.3328297513609087E-2</v>
      </c>
      <c r="K84" s="298">
        <v>9.9334339431091864E-3</v>
      </c>
      <c r="L84" s="298">
        <v>8.7776949548354632E-3</v>
      </c>
      <c r="M84" s="298">
        <v>2.8422690440152187E-3</v>
      </c>
      <c r="N84" s="298">
        <v>1.7693174251628295E-3</v>
      </c>
      <c r="O84" s="298">
        <v>2.3683965026528521E-3</v>
      </c>
      <c r="P84" s="298">
        <v>2.2687748359132434E-3</v>
      </c>
      <c r="Q84" s="298">
        <v>3.2956893394252857E-3</v>
      </c>
      <c r="R84" s="298">
        <v>3.1845733198832878E-3</v>
      </c>
      <c r="S84" s="298">
        <v>3.1845733198832878E-3</v>
      </c>
      <c r="T84" s="298">
        <v>3.1845733198832878E-3</v>
      </c>
      <c r="U84" s="298">
        <v>3.1845733198832878E-3</v>
      </c>
    </row>
    <row r="85" spans="1:21" ht="14.4" x14ac:dyDescent="0.3">
      <c r="A85" s="43">
        <v>23</v>
      </c>
      <c r="B85" s="43"/>
      <c r="C85" s="1"/>
      <c r="D85" s="298">
        <v>14.111336248333169</v>
      </c>
      <c r="E85" s="298">
        <v>4.5502762773923147</v>
      </c>
      <c r="F85" s="298">
        <v>2.8173069900787024</v>
      </c>
      <c r="G85" s="298">
        <v>2.0670952688936821</v>
      </c>
      <c r="H85" s="298">
        <v>2.2928087910650583</v>
      </c>
      <c r="I85" s="298">
        <v>1.9472020944612196</v>
      </c>
      <c r="J85" s="298">
        <v>1.3645089433593613</v>
      </c>
      <c r="K85" s="298">
        <v>1.1709027163413299</v>
      </c>
      <c r="L85" s="298">
        <v>1.0449622436221531</v>
      </c>
      <c r="M85" s="298">
        <v>0.98668776275695924</v>
      </c>
      <c r="N85" s="298">
        <v>0.97151910927620677</v>
      </c>
      <c r="O85" s="298">
        <v>0.91499109629030073</v>
      </c>
      <c r="P85" s="298">
        <v>0.81941237005377587</v>
      </c>
      <c r="Q85" s="298">
        <v>0.64151011524075341</v>
      </c>
      <c r="R85" s="298">
        <v>0.64347399672352978</v>
      </c>
      <c r="S85" s="298">
        <v>0.64347399672352978</v>
      </c>
      <c r="T85" s="298">
        <v>0.64347399672352978</v>
      </c>
      <c r="U85" s="298">
        <v>0.64347399672352978</v>
      </c>
    </row>
    <row r="86" spans="1:21" ht="14.4" x14ac:dyDescent="0.3">
      <c r="A86" s="43">
        <v>24</v>
      </c>
      <c r="B86" s="43"/>
      <c r="C86" s="1"/>
      <c r="D86" s="298">
        <v>3.6824454901743818E-2</v>
      </c>
      <c r="E86" s="298">
        <v>9.8382681602157043E-3</v>
      </c>
      <c r="F86" s="298">
        <v>2.4869442257516557E-3</v>
      </c>
      <c r="G86" s="298">
        <v>3.7823320015961076E-3</v>
      </c>
      <c r="H86" s="298">
        <v>3.0035667733548503E-3</v>
      </c>
      <c r="I86" s="298">
        <v>5.3235417328994826E-3</v>
      </c>
      <c r="J86" s="298">
        <v>5.8116700278296428E-3</v>
      </c>
      <c r="K86" s="298">
        <v>2.9855222275943743E-3</v>
      </c>
      <c r="L86" s="298">
        <v>2.3272957918215429E-3</v>
      </c>
      <c r="M86" s="298">
        <v>3.1075268606800422E-3</v>
      </c>
      <c r="N86" s="298">
        <v>1.6642059470906843E-3</v>
      </c>
      <c r="O86" s="298">
        <v>5.0465814106315395E-4</v>
      </c>
      <c r="P86" s="298">
        <v>2.4652728971896356E-3</v>
      </c>
      <c r="Q86" s="298">
        <v>5.6815989694872823E-4</v>
      </c>
      <c r="R86" s="298">
        <v>2.910084521893625E-3</v>
      </c>
      <c r="S86" s="298">
        <v>2.910084521893625E-3</v>
      </c>
      <c r="T86" s="298">
        <v>2.910084521893625E-3</v>
      </c>
      <c r="U86" s="298">
        <v>2.910084521893625E-3</v>
      </c>
    </row>
    <row r="87" spans="1:21" ht="14.4" x14ac:dyDescent="0.3">
      <c r="A87" s="43">
        <v>25</v>
      </c>
      <c r="B87" s="43"/>
      <c r="C87" s="1"/>
      <c r="D87" s="298">
        <v>9.1460847189836905</v>
      </c>
      <c r="E87" s="298">
        <v>3.3287755929835949</v>
      </c>
      <c r="F87" s="298">
        <v>2.4769082641614584</v>
      </c>
      <c r="G87" s="298">
        <v>1.4065816239828657</v>
      </c>
      <c r="H87" s="298">
        <v>0.9812541545579192</v>
      </c>
      <c r="I87" s="298">
        <v>0.87516515937476913</v>
      </c>
      <c r="J87" s="298">
        <v>1.0203047520164361</v>
      </c>
      <c r="K87" s="298">
        <v>0.89181945133108653</v>
      </c>
      <c r="L87" s="298">
        <v>0.77335390981045959</v>
      </c>
      <c r="M87" s="298">
        <v>0.680943962179267</v>
      </c>
      <c r="N87" s="298">
        <v>0.60410783726699213</v>
      </c>
      <c r="O87" s="298">
        <v>0.59625159344747769</v>
      </c>
      <c r="P87" s="298">
        <v>0.57911197721694829</v>
      </c>
      <c r="Q87" s="298">
        <v>0.47588131924725879</v>
      </c>
      <c r="R87" s="298">
        <v>0.48332856078705327</v>
      </c>
      <c r="S87" s="298">
        <v>0.48332856078705327</v>
      </c>
      <c r="T87" s="298">
        <v>0.48332856078705327</v>
      </c>
      <c r="U87" s="298">
        <v>0.48332856078705327</v>
      </c>
    </row>
    <row r="88" spans="1:21" ht="14.4" x14ac:dyDescent="0.3">
      <c r="A88" s="43">
        <v>26</v>
      </c>
      <c r="B88" s="43"/>
      <c r="C88" s="1"/>
      <c r="D88" s="298">
        <v>5.0821504219815294E-2</v>
      </c>
      <c r="E88" s="298">
        <v>5.5062549483802257E-2</v>
      </c>
      <c r="F88" s="298">
        <v>2.6569838221547654E-2</v>
      </c>
      <c r="G88" s="298">
        <v>1.7180710354120391E-2</v>
      </c>
      <c r="H88" s="298">
        <v>1.4413765296386657E-2</v>
      </c>
      <c r="I88" s="298">
        <v>1.340051166752103E-2</v>
      </c>
      <c r="J88" s="298">
        <v>1.2261667576280695E-2</v>
      </c>
      <c r="K88" s="298">
        <v>1.1494261330574136E-2</v>
      </c>
      <c r="L88" s="298">
        <v>1.1502164549246671E-2</v>
      </c>
      <c r="M88" s="298">
        <v>6.3586835670058186E-3</v>
      </c>
      <c r="N88" s="298">
        <v>5.7283366829020497E-3</v>
      </c>
      <c r="O88" s="298">
        <v>1.4156391535011382E-3</v>
      </c>
      <c r="P88" s="298">
        <v>2.35923526977449E-3</v>
      </c>
      <c r="Q88" s="298">
        <v>3.048115692564884E-3</v>
      </c>
      <c r="R88" s="298">
        <v>2.505817916151253E-3</v>
      </c>
      <c r="S88" s="298">
        <v>2.505817916151253E-3</v>
      </c>
      <c r="T88" s="298">
        <v>2.505817916151253E-3</v>
      </c>
      <c r="U88" s="298">
        <v>2.505817916151253E-3</v>
      </c>
    </row>
    <row r="89" spans="1:21" ht="14.4" x14ac:dyDescent="0.3">
      <c r="A89" s="43">
        <v>27</v>
      </c>
      <c r="B89" s="43"/>
      <c r="C89" s="1"/>
      <c r="D89" s="298">
        <v>0.21238680360962095</v>
      </c>
      <c r="E89" s="298">
        <v>0.25707405179893289</v>
      </c>
      <c r="F89" s="298">
        <v>0.16073741316951387</v>
      </c>
      <c r="G89" s="298">
        <v>0.17380962651022741</v>
      </c>
      <c r="H89" s="298">
        <v>9.1193806224074303E-2</v>
      </c>
      <c r="I89" s="298">
        <v>0.33088372878460953</v>
      </c>
      <c r="J89" s="298">
        <v>0.40809218499146371</v>
      </c>
      <c r="K89" s="298">
        <v>0.28326195110267732</v>
      </c>
      <c r="L89" s="298">
        <v>0.20563582476045428</v>
      </c>
      <c r="M89" s="298">
        <v>0.15760505021576746</v>
      </c>
      <c r="N89" s="298">
        <v>9.9377043514666238E-2</v>
      </c>
      <c r="O89" s="298">
        <v>7.5391622206023953E-2</v>
      </c>
      <c r="P89" s="298">
        <v>6.8011485955306775E-2</v>
      </c>
      <c r="Q89" s="298">
        <v>5.56664765461901E-2</v>
      </c>
      <c r="R89" s="298">
        <v>5.3354821022066533E-2</v>
      </c>
      <c r="S89" s="298">
        <v>5.3354821022066533E-2</v>
      </c>
      <c r="T89" s="298">
        <v>5.3354821022066533E-2</v>
      </c>
      <c r="U89" s="298">
        <v>5.3354821022066533E-2</v>
      </c>
    </row>
    <row r="90" spans="1:21" ht="14.4" x14ac:dyDescent="0.3">
      <c r="A90" s="43">
        <v>28</v>
      </c>
      <c r="B90" s="43"/>
      <c r="C90" s="1"/>
      <c r="D90" s="298">
        <v>1.9392625777396737E-2</v>
      </c>
      <c r="E90" s="298">
        <v>4.7102518518670457E-2</v>
      </c>
      <c r="F90" s="298">
        <v>2.8971418661601897E-2</v>
      </c>
      <c r="G90" s="298">
        <v>1.1872541264805246E-2</v>
      </c>
      <c r="H90" s="298">
        <v>6.9611130983163278E-3</v>
      </c>
      <c r="I90" s="298">
        <v>8.5362681900183323E-3</v>
      </c>
      <c r="J90" s="298">
        <v>1.2556658041302614E-2</v>
      </c>
      <c r="K90" s="298">
        <v>1.0537656791068419E-2</v>
      </c>
      <c r="L90" s="298">
        <v>9.2930775732190107E-3</v>
      </c>
      <c r="M90" s="298">
        <v>3.3090135809581808E-3</v>
      </c>
      <c r="N90" s="298">
        <v>8.4429509332862738E-4</v>
      </c>
      <c r="O90" s="298">
        <v>1.7536756837702497E-3</v>
      </c>
      <c r="P90" s="298">
        <v>1.2486380283558422E-3</v>
      </c>
      <c r="Q90" s="298">
        <v>3.2293207653354824E-3</v>
      </c>
      <c r="R90" s="298">
        <v>2.7333925969108054E-3</v>
      </c>
      <c r="S90" s="298">
        <v>2.7333925969108054E-3</v>
      </c>
      <c r="T90" s="298">
        <v>2.7333925969108054E-3</v>
      </c>
      <c r="U90" s="298">
        <v>2.7333925969108054E-3</v>
      </c>
    </row>
    <row r="91" spans="1:21" ht="14.4" x14ac:dyDescent="0.3">
      <c r="A91" s="43">
        <v>29</v>
      </c>
      <c r="B91" s="43"/>
      <c r="C91" s="1"/>
      <c r="D91" s="298">
        <v>6.5146861253923207</v>
      </c>
      <c r="E91" s="298">
        <v>2.6788137999966111</v>
      </c>
      <c r="F91" s="298">
        <v>1.6106667515221753</v>
      </c>
      <c r="G91" s="298">
        <v>1.3975423047728013</v>
      </c>
      <c r="H91" s="298">
        <v>1.3999934630363924</v>
      </c>
      <c r="I91" s="298">
        <v>1.0907850218496227</v>
      </c>
      <c r="J91" s="298">
        <v>0.75870567381450926</v>
      </c>
      <c r="K91" s="298">
        <v>0.75678843679568575</v>
      </c>
      <c r="L91" s="298">
        <v>0.75575983296320848</v>
      </c>
      <c r="M91" s="298">
        <v>0.72478506133268517</v>
      </c>
      <c r="N91" s="298">
        <v>0.61840577400138186</v>
      </c>
      <c r="O91" s="298">
        <v>0.50578743449988961</v>
      </c>
      <c r="P91" s="298">
        <v>0.46727025134098182</v>
      </c>
      <c r="Q91" s="298">
        <v>0.45386743782930422</v>
      </c>
      <c r="R91" s="298">
        <v>0.4514293951690499</v>
      </c>
      <c r="S91" s="298">
        <v>0.4514293951690499</v>
      </c>
      <c r="T91" s="298">
        <v>0.4514293951690499</v>
      </c>
      <c r="U91" s="298">
        <v>0.4514293951690499</v>
      </c>
    </row>
    <row r="92" spans="1:21" ht="14.4" x14ac:dyDescent="0.3">
      <c r="A92" s="43">
        <v>30</v>
      </c>
      <c r="B92" s="43"/>
      <c r="C92" s="1"/>
      <c r="D92" s="298">
        <v>3.4884370898550648E-2</v>
      </c>
      <c r="E92" s="298">
        <v>4.1765772225850796E-3</v>
      </c>
      <c r="F92" s="298">
        <v>3.1945642193693534E-3</v>
      </c>
      <c r="G92" s="298">
        <v>3.60287707209932E-3</v>
      </c>
      <c r="H92" s="298">
        <v>3.2920300374340902E-3</v>
      </c>
      <c r="I92" s="298">
        <v>5.0314868423076246E-3</v>
      </c>
      <c r="J92" s="298">
        <v>4.6053075814346854E-3</v>
      </c>
      <c r="K92" s="298">
        <v>3.6991571943863818E-3</v>
      </c>
      <c r="L92" s="298">
        <v>1.9564019833816105E-3</v>
      </c>
      <c r="M92" s="298">
        <v>2.8717553777810353E-3</v>
      </c>
      <c r="N92" s="298">
        <v>2.6821760992090326E-3</v>
      </c>
      <c r="O92" s="298">
        <v>5.3985110846739104E-4</v>
      </c>
      <c r="P92" s="298">
        <v>8.6189772740157076E-4</v>
      </c>
      <c r="Q92" s="298">
        <v>7.0587971191137216E-4</v>
      </c>
      <c r="R92" s="298">
        <v>2.5967183728580682E-3</v>
      </c>
      <c r="S92" s="298">
        <v>2.5967183728580682E-3</v>
      </c>
      <c r="T92" s="298">
        <v>2.5967183728580682E-3</v>
      </c>
      <c r="U92" s="298">
        <v>2.5967183728580682E-3</v>
      </c>
    </row>
    <row r="93" spans="1:21" ht="14.4" x14ac:dyDescent="0.3">
      <c r="A93" s="43">
        <v>31</v>
      </c>
      <c r="B93" s="43"/>
      <c r="C93" s="1"/>
      <c r="D93" s="298">
        <v>6.3339107327432735</v>
      </c>
      <c r="E93" s="298">
        <v>2.4858685050570775</v>
      </c>
      <c r="F93" s="298">
        <v>1.4322222537619056</v>
      </c>
      <c r="G93" s="298">
        <v>0.82280279165842463</v>
      </c>
      <c r="H93" s="298">
        <v>0.68512353629472578</v>
      </c>
      <c r="I93" s="298">
        <v>0.58112005814292844</v>
      </c>
      <c r="J93" s="298">
        <v>0.56772740214173922</v>
      </c>
      <c r="K93" s="298">
        <v>0.46221863452787271</v>
      </c>
      <c r="L93" s="298">
        <v>0.42486576546865334</v>
      </c>
      <c r="M93" s="298">
        <v>0.43056874893088998</v>
      </c>
      <c r="N93" s="298">
        <v>0.43268010175951643</v>
      </c>
      <c r="O93" s="298">
        <v>0.37617527613812002</v>
      </c>
      <c r="P93" s="298">
        <v>0.31678577460681751</v>
      </c>
      <c r="Q93" s="298">
        <v>0.30877008317967913</v>
      </c>
      <c r="R93" s="298">
        <v>0.3120658886678041</v>
      </c>
      <c r="S93" s="298">
        <v>0.3120658886678041</v>
      </c>
      <c r="T93" s="298">
        <v>0.3120658886678041</v>
      </c>
      <c r="U93" s="298">
        <v>0.3120658886678041</v>
      </c>
    </row>
    <row r="94" spans="1:21" ht="14.4" x14ac:dyDescent="0.3">
      <c r="A94" s="43">
        <v>32</v>
      </c>
      <c r="B94" s="43"/>
      <c r="C94" s="1"/>
      <c r="D94" s="298">
        <v>4.6506205535545839E-2</v>
      </c>
      <c r="E94" s="298">
        <v>3.3260518350729629E-2</v>
      </c>
      <c r="F94" s="298">
        <v>2.9586195514357663E-2</v>
      </c>
      <c r="G94" s="298">
        <v>1.9535797704362808E-2</v>
      </c>
      <c r="H94" s="298">
        <v>1.4563606306652922E-2</v>
      </c>
      <c r="I94" s="298">
        <v>1.305927336868163E-2</v>
      </c>
      <c r="J94" s="298">
        <v>8.8970610246392086E-3</v>
      </c>
      <c r="K94" s="298">
        <v>1.1901375104307985E-2</v>
      </c>
      <c r="L94" s="298">
        <v>1.1921658515740853E-2</v>
      </c>
      <c r="M94" s="298">
        <v>5.9187663071225798E-3</v>
      </c>
      <c r="N94" s="298">
        <v>4.587462629749072E-3</v>
      </c>
      <c r="O94" s="298">
        <v>1.2699646308248702E-3</v>
      </c>
      <c r="P94" s="298">
        <v>2.2444292602197963E-3</v>
      </c>
      <c r="Q94" s="298">
        <v>2.8384966763810126E-3</v>
      </c>
      <c r="R94" s="298">
        <v>2.9287371239286731E-3</v>
      </c>
      <c r="S94" s="298">
        <v>2.9287371239286731E-3</v>
      </c>
      <c r="T94" s="298">
        <v>2.9287371239286731E-3</v>
      </c>
      <c r="U94" s="298">
        <v>2.9287371239286731E-3</v>
      </c>
    </row>
    <row r="95" spans="1:21" ht="14.4" x14ac:dyDescent="0.3">
      <c r="A95" s="43">
        <v>33</v>
      </c>
      <c r="B95" s="43"/>
      <c r="C95" s="1"/>
      <c r="D95" s="298">
        <v>0.30274927892914244</v>
      </c>
      <c r="E95" s="298">
        <v>1.7216657169820748E-2</v>
      </c>
      <c r="F95" s="298">
        <v>0.12233571605865014</v>
      </c>
      <c r="G95" s="298">
        <v>0.13605621192601108</v>
      </c>
      <c r="H95" s="298">
        <v>7.0763148414675126E-2</v>
      </c>
      <c r="I95" s="298">
        <v>0.26563628264177047</v>
      </c>
      <c r="J95" s="298">
        <v>0.34165566585023771</v>
      </c>
      <c r="K95" s="298">
        <v>0.22742267911109676</v>
      </c>
      <c r="L95" s="298">
        <v>0.15381673439332844</v>
      </c>
      <c r="M95" s="298">
        <v>0.11558930646976719</v>
      </c>
      <c r="N95" s="298">
        <v>8.4151409301761251E-2</v>
      </c>
      <c r="O95" s="298">
        <v>6.7503639523961864E-2</v>
      </c>
      <c r="P95" s="298">
        <v>5.6413371607669127E-2</v>
      </c>
      <c r="Q95" s="298">
        <v>4.1647697018963321E-2</v>
      </c>
      <c r="R95" s="298">
        <v>3.9799798597555773E-2</v>
      </c>
      <c r="S95" s="298">
        <v>3.9799798597555773E-2</v>
      </c>
      <c r="T95" s="298">
        <v>3.9799798597555773E-2</v>
      </c>
      <c r="U95" s="298">
        <v>3.9799798597555773E-2</v>
      </c>
    </row>
    <row r="96" spans="1:21" ht="14.4" x14ac:dyDescent="0.3">
      <c r="A96" s="43">
        <v>34</v>
      </c>
      <c r="B96" s="43"/>
      <c r="C96" s="1"/>
      <c r="D96" s="298">
        <v>0.15658261184107439</v>
      </c>
      <c r="E96" s="298">
        <v>6.9206297258360139E-2</v>
      </c>
      <c r="F96" s="298">
        <v>0.11719738000471913</v>
      </c>
      <c r="G96" s="298">
        <v>9.0950515996728487E-2</v>
      </c>
      <c r="H96" s="298">
        <v>5.6069430808107633E-2</v>
      </c>
      <c r="I96" s="298">
        <v>0.18457651004529252</v>
      </c>
      <c r="J96" s="298">
        <v>0.21861320828195963</v>
      </c>
      <c r="K96" s="298">
        <v>0.14805460867942424</v>
      </c>
      <c r="L96" s="298">
        <v>0.10865726471480185</v>
      </c>
      <c r="M96" s="298">
        <v>8.7921961526698345E-2</v>
      </c>
      <c r="N96" s="298">
        <v>5.8256465500538285E-2</v>
      </c>
      <c r="O96" s="298">
        <v>4.4253058727944716E-2</v>
      </c>
      <c r="P96" s="298">
        <v>3.9509788445304235E-2</v>
      </c>
      <c r="Q96" s="298">
        <v>2.9542651780987427E-2</v>
      </c>
      <c r="R96" s="298">
        <v>2.8071591122090556E-2</v>
      </c>
      <c r="S96" s="298">
        <v>2.8071591122090556E-2</v>
      </c>
      <c r="T96" s="298">
        <v>2.8071591122090556E-2</v>
      </c>
      <c r="U96" s="298">
        <v>2.8071591122090556E-2</v>
      </c>
    </row>
    <row r="97" spans="1:21" ht="14.4" x14ac:dyDescent="0.3">
      <c r="A97" s="43">
        <v>35</v>
      </c>
      <c r="B97" s="43"/>
      <c r="C97" s="1"/>
      <c r="D97" s="298">
        <v>5.9029852258662023</v>
      </c>
      <c r="E97" s="298">
        <v>1.4733260588243429</v>
      </c>
      <c r="F97" s="298">
        <v>1.2803616292235322</v>
      </c>
      <c r="G97" s="298">
        <v>1.0290257258239199</v>
      </c>
      <c r="H97" s="298">
        <v>0.95078684693100002</v>
      </c>
      <c r="I97" s="298">
        <v>0.68755518357204037</v>
      </c>
      <c r="J97" s="298">
        <v>0.51648077967213191</v>
      </c>
      <c r="K97" s="298">
        <v>0.5658478637815777</v>
      </c>
      <c r="L97" s="298">
        <v>0.55172205299175037</v>
      </c>
      <c r="M97" s="298">
        <v>0.48796466250698262</v>
      </c>
      <c r="N97" s="298">
        <v>0.39029335703643686</v>
      </c>
      <c r="O97" s="298">
        <v>0.36343466624775511</v>
      </c>
      <c r="P97" s="298">
        <v>0.35166631128246867</v>
      </c>
      <c r="Q97" s="298">
        <v>0.28545240285608292</v>
      </c>
      <c r="R97" s="298">
        <v>0.28281840150514814</v>
      </c>
      <c r="S97" s="298">
        <v>0.28281840150514814</v>
      </c>
      <c r="T97" s="298">
        <v>0.28281840150514814</v>
      </c>
      <c r="U97" s="298">
        <v>0.28281840150514814</v>
      </c>
    </row>
    <row r="98" spans="1:21" ht="14.4" x14ac:dyDescent="0.3">
      <c r="A98" s="43">
        <v>36</v>
      </c>
      <c r="B98" s="43"/>
      <c r="C98" s="1"/>
      <c r="D98" s="298">
        <v>0.15658261184107439</v>
      </c>
      <c r="E98" s="298">
        <v>6.9206297258360139E-2</v>
      </c>
      <c r="F98" s="298">
        <v>0.11719738000471913</v>
      </c>
      <c r="G98" s="298">
        <v>9.0950515996728487E-2</v>
      </c>
      <c r="H98" s="298">
        <v>5.6069430808107633E-2</v>
      </c>
      <c r="I98" s="298">
        <v>0.18457651004529252</v>
      </c>
      <c r="J98" s="298">
        <v>0.21861320828195963</v>
      </c>
      <c r="K98" s="298">
        <v>0.14805460867942424</v>
      </c>
      <c r="L98" s="298">
        <v>0.10865726471480185</v>
      </c>
      <c r="M98" s="298">
        <v>8.7921961526698345E-2</v>
      </c>
      <c r="N98" s="298">
        <v>5.8256465500538285E-2</v>
      </c>
      <c r="O98" s="298">
        <v>4.4253058727944716E-2</v>
      </c>
      <c r="P98" s="298">
        <v>3.9509788445304235E-2</v>
      </c>
      <c r="Q98" s="298">
        <v>2.9542651780987427E-2</v>
      </c>
      <c r="R98" s="298">
        <v>2.8071591122090556E-2</v>
      </c>
      <c r="S98" s="298">
        <v>2.8071591122090556E-2</v>
      </c>
      <c r="T98" s="298">
        <v>2.8071591122090556E-2</v>
      </c>
      <c r="U98" s="298">
        <v>2.8071591122090556E-2</v>
      </c>
    </row>
    <row r="99" spans="1:21" ht="14.4" x14ac:dyDescent="0.3">
      <c r="A99" s="43">
        <v>37</v>
      </c>
      <c r="B99" s="43"/>
      <c r="C99" s="1"/>
      <c r="D99" s="298">
        <v>4.7242605294817244</v>
      </c>
      <c r="E99" s="298">
        <v>1.4147795985274163</v>
      </c>
      <c r="F99" s="298">
        <v>0.86563302172429457</v>
      </c>
      <c r="G99" s="298">
        <v>0.58792408051231626</v>
      </c>
      <c r="H99" s="298">
        <v>0.44571284137714501</v>
      </c>
      <c r="I99" s="298">
        <v>0.35071388358174704</v>
      </c>
      <c r="J99" s="298">
        <v>0.34192356461046053</v>
      </c>
      <c r="K99" s="298">
        <v>0.32136315457507253</v>
      </c>
      <c r="L99" s="298">
        <v>0.32334277343163409</v>
      </c>
      <c r="M99" s="298">
        <v>0.31458122808120276</v>
      </c>
      <c r="N99" s="298">
        <v>0.26038899134139826</v>
      </c>
      <c r="O99" s="298">
        <v>0.23293659142238254</v>
      </c>
      <c r="P99" s="298">
        <v>0.23495243567481122</v>
      </c>
      <c r="Q99" s="298">
        <v>0.1983093021126322</v>
      </c>
      <c r="R99" s="298">
        <v>0.19995839901366486</v>
      </c>
      <c r="S99" s="298">
        <v>0.19995839901366486</v>
      </c>
      <c r="T99" s="298">
        <v>0.19995839901366486</v>
      </c>
      <c r="U99" s="298">
        <v>0.19995839901366486</v>
      </c>
    </row>
    <row r="100" spans="1:21" ht="14.4" x14ac:dyDescent="0.3">
      <c r="A100" s="43">
        <v>38</v>
      </c>
      <c r="B100" s="43"/>
      <c r="C100" s="1"/>
      <c r="D100" s="298">
        <v>0.15658261184107439</v>
      </c>
      <c r="E100" s="298">
        <v>6.9206297258360139E-2</v>
      </c>
      <c r="F100" s="298">
        <v>0.11719738000471913</v>
      </c>
      <c r="G100" s="298">
        <v>9.0950515996728487E-2</v>
      </c>
      <c r="H100" s="298">
        <v>5.6069430808107633E-2</v>
      </c>
      <c r="I100" s="298">
        <v>0.18457651004529252</v>
      </c>
      <c r="J100" s="298">
        <v>0.21861320828195963</v>
      </c>
      <c r="K100" s="298">
        <v>0.14805460867942424</v>
      </c>
      <c r="L100" s="298">
        <v>0.10865726471480185</v>
      </c>
      <c r="M100" s="298">
        <v>8.7921961526698345E-2</v>
      </c>
      <c r="N100" s="298">
        <v>5.8256465500538285E-2</v>
      </c>
      <c r="O100" s="298">
        <v>4.4253058727944716E-2</v>
      </c>
      <c r="P100" s="298">
        <v>3.9509788445304235E-2</v>
      </c>
      <c r="Q100" s="298">
        <v>2.9542651780987427E-2</v>
      </c>
      <c r="R100" s="298">
        <v>2.8071591122090556E-2</v>
      </c>
      <c r="S100" s="298">
        <v>2.8071591122090556E-2</v>
      </c>
      <c r="T100" s="298">
        <v>2.8071591122090556E-2</v>
      </c>
      <c r="U100" s="298">
        <v>2.8071591122090556E-2</v>
      </c>
    </row>
    <row r="101" spans="1:21" ht="14.4" x14ac:dyDescent="0.3">
      <c r="A101" s="43">
        <v>39</v>
      </c>
      <c r="B101" s="43"/>
      <c r="C101" s="1"/>
      <c r="D101" s="298">
        <v>0.2079850899943797</v>
      </c>
      <c r="E101" s="298">
        <v>0.13041647508011303</v>
      </c>
      <c r="F101" s="298">
        <v>0.12947509110634475</v>
      </c>
      <c r="G101" s="298">
        <v>0.11009404781577684</v>
      </c>
      <c r="H101" s="298">
        <v>6.014929527512837E-2</v>
      </c>
      <c r="I101" s="298">
        <v>0.21949671273146126</v>
      </c>
      <c r="J101" s="298">
        <v>0.27640701454444089</v>
      </c>
      <c r="K101" s="298">
        <v>0.17818419975534588</v>
      </c>
      <c r="L101" s="298">
        <v>0.12256174642203793</v>
      </c>
      <c r="M101" s="298">
        <v>9.8387203409769475E-2</v>
      </c>
      <c r="N101" s="298">
        <v>7.1958024598108364E-2</v>
      </c>
      <c r="O101" s="298">
        <v>5.1366620792552581E-2</v>
      </c>
      <c r="P101" s="298">
        <v>4.2850088405828553E-2</v>
      </c>
      <c r="Q101" s="298">
        <v>3.5922322150466021E-2</v>
      </c>
      <c r="R101" s="298">
        <v>3.4556391879303032E-2</v>
      </c>
      <c r="S101" s="298">
        <v>3.4556391879303032E-2</v>
      </c>
      <c r="T101" s="298">
        <v>3.4556391879303032E-2</v>
      </c>
      <c r="U101" s="298">
        <v>3.4556391879303032E-2</v>
      </c>
    </row>
    <row r="102" spans="1:21" ht="14.4" x14ac:dyDescent="0.3">
      <c r="A102" s="43">
        <v>40</v>
      </c>
      <c r="B102" s="43"/>
      <c r="C102" s="1"/>
      <c r="D102" s="298">
        <v>0.15658261184107439</v>
      </c>
      <c r="E102" s="298">
        <v>6.9206297258360139E-2</v>
      </c>
      <c r="F102" s="298">
        <v>0.11719738000471913</v>
      </c>
      <c r="G102" s="298">
        <v>9.0950515996728487E-2</v>
      </c>
      <c r="H102" s="298">
        <v>5.6069430808107633E-2</v>
      </c>
      <c r="I102" s="298">
        <v>0.18457651004529252</v>
      </c>
      <c r="J102" s="298">
        <v>0.21861320828195963</v>
      </c>
      <c r="K102" s="298">
        <v>0.14805460867942424</v>
      </c>
      <c r="L102" s="298">
        <v>0.10865726471480185</v>
      </c>
      <c r="M102" s="298">
        <v>8.7921961526698345E-2</v>
      </c>
      <c r="N102" s="298">
        <v>5.8256465500538285E-2</v>
      </c>
      <c r="O102" s="298">
        <v>4.4253058727944716E-2</v>
      </c>
      <c r="P102" s="298">
        <v>3.9509788445304235E-2</v>
      </c>
      <c r="Q102" s="298">
        <v>2.9542651780987427E-2</v>
      </c>
      <c r="R102" s="298">
        <v>2.8071591122090556E-2</v>
      </c>
      <c r="S102" s="298">
        <v>2.8071591122090556E-2</v>
      </c>
      <c r="T102" s="298">
        <v>2.8071591122090556E-2</v>
      </c>
      <c r="U102" s="298">
        <v>2.8071591122090556E-2</v>
      </c>
    </row>
    <row r="103" spans="1:21" ht="14.4" x14ac:dyDescent="0.3">
      <c r="A103" s="43">
        <v>41</v>
      </c>
      <c r="B103" s="43"/>
      <c r="C103" s="1"/>
      <c r="D103" s="298">
        <v>2.9593523720748518</v>
      </c>
      <c r="E103" s="298">
        <v>1.3960448536050045</v>
      </c>
      <c r="F103" s="298">
        <v>0.9788469484846104</v>
      </c>
      <c r="G103" s="298">
        <v>0.76626902234982497</v>
      </c>
      <c r="H103" s="298">
        <v>0.64986432358583057</v>
      </c>
      <c r="I103" s="298">
        <v>0.49479101470748305</v>
      </c>
      <c r="J103" s="298">
        <v>0.39951328972932304</v>
      </c>
      <c r="K103" s="298">
        <v>0.41594580564321404</v>
      </c>
      <c r="L103" s="298">
        <v>0.37579029347140652</v>
      </c>
      <c r="M103" s="298">
        <v>0.32440122806902955</v>
      </c>
      <c r="N103" s="298">
        <v>0.30529874652047795</v>
      </c>
      <c r="O103" s="298">
        <v>0.272856325769609</v>
      </c>
      <c r="P103" s="298">
        <v>0.23528249165808171</v>
      </c>
      <c r="Q103" s="298">
        <v>0.21930268062364178</v>
      </c>
      <c r="R103" s="298">
        <v>0.21942223358685053</v>
      </c>
      <c r="S103" s="298">
        <v>0.21942223358685053</v>
      </c>
      <c r="T103" s="298">
        <v>0.21942223358685053</v>
      </c>
      <c r="U103" s="298">
        <v>0.21942223358685053</v>
      </c>
    </row>
    <row r="104" spans="1:21" ht="14.4" x14ac:dyDescent="0.3">
      <c r="A104" s="43">
        <v>42</v>
      </c>
      <c r="B104" s="43"/>
      <c r="C104" s="1"/>
      <c r="D104" s="298">
        <v>0.15658261184107439</v>
      </c>
      <c r="E104" s="298">
        <v>6.9206297258360139E-2</v>
      </c>
      <c r="F104" s="298">
        <v>0.11719738000471913</v>
      </c>
      <c r="G104" s="298">
        <v>9.0950515996728487E-2</v>
      </c>
      <c r="H104" s="298">
        <v>5.6069430808107633E-2</v>
      </c>
      <c r="I104" s="298">
        <v>0.18457651004529252</v>
      </c>
      <c r="J104" s="298">
        <v>0.21861320828195963</v>
      </c>
      <c r="K104" s="298">
        <v>0.14805460867942424</v>
      </c>
      <c r="L104" s="298">
        <v>0.10865726471480185</v>
      </c>
      <c r="M104" s="298">
        <v>8.7921961526698345E-2</v>
      </c>
      <c r="N104" s="298">
        <v>5.8256465500538285E-2</v>
      </c>
      <c r="O104" s="298">
        <v>4.4253058727944716E-2</v>
      </c>
      <c r="P104" s="298">
        <v>3.9509788445304235E-2</v>
      </c>
      <c r="Q104" s="298">
        <v>2.9542651780987427E-2</v>
      </c>
      <c r="R104" s="298">
        <v>2.8071591122090556E-2</v>
      </c>
      <c r="S104" s="298">
        <v>2.8071591122090556E-2</v>
      </c>
      <c r="T104" s="298">
        <v>2.8071591122090556E-2</v>
      </c>
      <c r="U104" s="298">
        <v>2.8071591122090556E-2</v>
      </c>
    </row>
    <row r="105" spans="1:21" ht="14.4" x14ac:dyDescent="0.3">
      <c r="A105" s="43">
        <v>43</v>
      </c>
      <c r="B105" s="43"/>
      <c r="C105" s="1"/>
      <c r="D105" s="298">
        <v>2.2178560512821952</v>
      </c>
      <c r="E105" s="298">
        <v>1.1905972320783262</v>
      </c>
      <c r="F105" s="298">
        <v>0.75615175660327605</v>
      </c>
      <c r="G105" s="298">
        <v>0.45362551647456517</v>
      </c>
      <c r="H105" s="298">
        <v>0.28528173727691464</v>
      </c>
      <c r="I105" s="298">
        <v>0.21779752656057286</v>
      </c>
      <c r="J105" s="298">
        <v>0.25538951981730396</v>
      </c>
      <c r="K105" s="298">
        <v>0.24818871965708805</v>
      </c>
      <c r="L105" s="298">
        <v>0.22308863199724832</v>
      </c>
      <c r="M105" s="298">
        <v>0.19779080449305989</v>
      </c>
      <c r="N105" s="298">
        <v>0.1877023014843526</v>
      </c>
      <c r="O105" s="298">
        <v>0.18024721970812474</v>
      </c>
      <c r="P105" s="298">
        <v>0.14969356494618877</v>
      </c>
      <c r="Q105" s="298">
        <v>0.15402172112964774</v>
      </c>
      <c r="R105" s="298">
        <v>0.14788153997371078</v>
      </c>
      <c r="S105" s="298">
        <v>0.14788153997371078</v>
      </c>
      <c r="T105" s="298">
        <v>0.14788153997371078</v>
      </c>
      <c r="U105" s="298">
        <v>0.14788153997371078</v>
      </c>
    </row>
    <row r="106" spans="1:21" ht="14.4" x14ac:dyDescent="0.3">
      <c r="A106" s="43">
        <v>44</v>
      </c>
      <c r="B106" s="43"/>
      <c r="C106" s="1"/>
      <c r="D106" s="298">
        <v>0.15658261184107439</v>
      </c>
      <c r="E106" s="298">
        <v>6.9206297258360139E-2</v>
      </c>
      <c r="F106" s="298">
        <v>0.11719738000471913</v>
      </c>
      <c r="G106" s="298">
        <v>9.0950515996728487E-2</v>
      </c>
      <c r="H106" s="298">
        <v>5.6069430808107633E-2</v>
      </c>
      <c r="I106" s="298">
        <v>0.18457651004529252</v>
      </c>
      <c r="J106" s="298">
        <v>0.21861320828195963</v>
      </c>
      <c r="K106" s="298">
        <v>0.14805460867942424</v>
      </c>
      <c r="L106" s="298">
        <v>0.10865726471480185</v>
      </c>
      <c r="M106" s="298">
        <v>8.7921961526698345E-2</v>
      </c>
      <c r="N106" s="298">
        <v>5.8256465500538285E-2</v>
      </c>
      <c r="O106" s="298">
        <v>4.4253058727944716E-2</v>
      </c>
      <c r="P106" s="298">
        <v>3.9509788445304235E-2</v>
      </c>
      <c r="Q106" s="298">
        <v>2.9542651780987427E-2</v>
      </c>
      <c r="R106" s="298">
        <v>2.8071591122090556E-2</v>
      </c>
      <c r="S106" s="298">
        <v>2.8071591122090556E-2</v>
      </c>
      <c r="T106" s="298">
        <v>2.8071591122090556E-2</v>
      </c>
      <c r="U106" s="298">
        <v>2.8071591122090556E-2</v>
      </c>
    </row>
    <row r="107" spans="1:21" ht="14.4" x14ac:dyDescent="0.3">
      <c r="A107" s="43">
        <v>45</v>
      </c>
      <c r="B107" s="43"/>
      <c r="C107" s="1"/>
      <c r="D107" s="298">
        <v>0.15674381381219379</v>
      </c>
      <c r="E107" s="298">
        <v>6.9135515452953725E-2</v>
      </c>
      <c r="F107" s="298">
        <v>0.11721931861181524</v>
      </c>
      <c r="G107" s="298">
        <v>9.0976276916425139E-2</v>
      </c>
      <c r="H107" s="298">
        <v>5.5974795488511517E-2</v>
      </c>
      <c r="I107" s="298">
        <v>0.18455139999068912</v>
      </c>
      <c r="J107" s="298">
        <v>0.21866515563030009</v>
      </c>
      <c r="K107" s="298">
        <v>0.14808361462956454</v>
      </c>
      <c r="L107" s="298">
        <v>0.10867252849450271</v>
      </c>
      <c r="M107" s="298">
        <v>8.7932880027034033E-2</v>
      </c>
      <c r="N107" s="298">
        <v>5.8261619608528936E-2</v>
      </c>
      <c r="O107" s="298">
        <v>4.4254803859095013E-2</v>
      </c>
      <c r="P107" s="298">
        <v>3.9511622355493263E-2</v>
      </c>
      <c r="Q107" s="298">
        <v>2.9543012509050892E-2</v>
      </c>
      <c r="R107" s="298">
        <v>2.8071590865564936E-2</v>
      </c>
      <c r="S107" s="298">
        <v>2.8071590865564936E-2</v>
      </c>
      <c r="T107" s="298">
        <v>2.8071590865564936E-2</v>
      </c>
      <c r="U107" s="298">
        <v>2.8071590865564936E-2</v>
      </c>
    </row>
    <row r="108" spans="1:21" ht="14.4" x14ac:dyDescent="0.3">
      <c r="A108" s="43">
        <v>46</v>
      </c>
      <c r="B108" s="43"/>
      <c r="C108" s="1"/>
      <c r="D108" s="298">
        <v>0.15658261184107439</v>
      </c>
      <c r="E108" s="298">
        <v>6.9206297258360139E-2</v>
      </c>
      <c r="F108" s="298">
        <v>0.11719738000471913</v>
      </c>
      <c r="G108" s="298">
        <v>9.0950515996728487E-2</v>
      </c>
      <c r="H108" s="298">
        <v>5.6069430808107633E-2</v>
      </c>
      <c r="I108" s="298">
        <v>0.18457651004529252</v>
      </c>
      <c r="J108" s="298">
        <v>0.21861320828195963</v>
      </c>
      <c r="K108" s="298">
        <v>0.14805460867942424</v>
      </c>
      <c r="L108" s="298">
        <v>0.10865726471480185</v>
      </c>
      <c r="M108" s="298">
        <v>8.7921961526698345E-2</v>
      </c>
      <c r="N108" s="298">
        <v>5.8256465500538285E-2</v>
      </c>
      <c r="O108" s="298">
        <v>4.4253058727944716E-2</v>
      </c>
      <c r="P108" s="298">
        <v>3.9509788445304235E-2</v>
      </c>
      <c r="Q108" s="298">
        <v>2.9542651780987427E-2</v>
      </c>
      <c r="R108" s="298">
        <v>2.8071591122090556E-2</v>
      </c>
      <c r="S108" s="298">
        <v>2.8071591122090556E-2</v>
      </c>
      <c r="T108" s="298">
        <v>2.8071591122090556E-2</v>
      </c>
      <c r="U108" s="298">
        <v>2.8071591122090556E-2</v>
      </c>
    </row>
    <row r="109" spans="1:21" ht="14.4" x14ac:dyDescent="0.3">
      <c r="A109" s="43">
        <v>47</v>
      </c>
      <c r="B109" s="43"/>
      <c r="C109" s="1"/>
      <c r="D109" s="298">
        <v>2.3268630691236321</v>
      </c>
      <c r="E109" s="298">
        <v>0.78641478977548207</v>
      </c>
      <c r="F109" s="298">
        <v>0.65683719239534155</v>
      </c>
      <c r="G109" s="298">
        <v>0.58143321676267457</v>
      </c>
      <c r="H109" s="298">
        <v>0.44928960665019158</v>
      </c>
      <c r="I109" s="298">
        <v>0.41294151992551731</v>
      </c>
      <c r="J109" s="298">
        <v>0.2940568330031525</v>
      </c>
      <c r="K109" s="298">
        <v>0.2786885915405366</v>
      </c>
      <c r="L109" s="298">
        <v>0.26697263616116279</v>
      </c>
      <c r="M109" s="298">
        <v>0.26064585390490097</v>
      </c>
      <c r="N109" s="298">
        <v>0.2367936036530196</v>
      </c>
      <c r="O109" s="298">
        <v>0.19038468562778788</v>
      </c>
      <c r="P109" s="298">
        <v>0.18456070692514012</v>
      </c>
      <c r="Q109" s="298">
        <v>0.16108516476637483</v>
      </c>
      <c r="R109" s="298">
        <v>0.15522073313539117</v>
      </c>
      <c r="S109" s="298">
        <v>0.15522073313539117</v>
      </c>
      <c r="T109" s="298">
        <v>0.15522073313539117</v>
      </c>
      <c r="U109" s="298">
        <v>0.15522073313539117</v>
      </c>
    </row>
    <row r="110" spans="1:21" ht="14.4" x14ac:dyDescent="0.3">
      <c r="A110" s="43">
        <v>48</v>
      </c>
      <c r="B110" s="43"/>
      <c r="C110" s="1"/>
      <c r="D110" s="298">
        <v>0.15658261184107439</v>
      </c>
      <c r="E110" s="298">
        <v>6.9206297258360139E-2</v>
      </c>
      <c r="F110" s="298">
        <v>0.11719738000471913</v>
      </c>
      <c r="G110" s="298">
        <v>9.0950515996728487E-2</v>
      </c>
      <c r="H110" s="298">
        <v>5.6069430808107633E-2</v>
      </c>
      <c r="I110" s="298">
        <v>0.18457651004529252</v>
      </c>
      <c r="J110" s="298">
        <v>0.21861320828195963</v>
      </c>
      <c r="K110" s="298">
        <v>0.14805460867942424</v>
      </c>
      <c r="L110" s="298">
        <v>0.10865726471480185</v>
      </c>
      <c r="M110" s="298">
        <v>8.7921961526698345E-2</v>
      </c>
      <c r="N110" s="298">
        <v>5.8256465500538285E-2</v>
      </c>
      <c r="O110" s="298">
        <v>4.4253058727944716E-2</v>
      </c>
      <c r="P110" s="298">
        <v>3.9509788445304235E-2</v>
      </c>
      <c r="Q110" s="298">
        <v>2.9542651780987427E-2</v>
      </c>
      <c r="R110" s="298">
        <v>2.8071591122090556E-2</v>
      </c>
      <c r="S110" s="298">
        <v>2.8071591122090556E-2</v>
      </c>
      <c r="T110" s="298">
        <v>2.8071591122090556E-2</v>
      </c>
      <c r="U110" s="298">
        <v>2.8071591122090556E-2</v>
      </c>
    </row>
    <row r="111" spans="1:21" ht="14.4" x14ac:dyDescent="0.3">
      <c r="A111" s="43">
        <v>49</v>
      </c>
      <c r="B111" s="43"/>
      <c r="C111" s="1"/>
      <c r="D111" s="298">
        <v>2.222090686942058</v>
      </c>
      <c r="E111" s="298">
        <v>0.8231320290067401</v>
      </c>
      <c r="F111" s="298">
        <v>0.54372728367538525</v>
      </c>
      <c r="G111" s="298">
        <v>0.33388586731319231</v>
      </c>
      <c r="H111" s="298">
        <v>0.20472977887589594</v>
      </c>
      <c r="I111" s="298">
        <v>0.16067909526322774</v>
      </c>
      <c r="J111" s="298">
        <v>0.19635848943192444</v>
      </c>
      <c r="K111" s="298">
        <v>0.18022284651166184</v>
      </c>
      <c r="L111" s="298">
        <v>0.15241194609444156</v>
      </c>
      <c r="M111" s="298">
        <v>0.14568078669873447</v>
      </c>
      <c r="N111" s="298">
        <v>0.14316623416465049</v>
      </c>
      <c r="O111" s="298">
        <v>0.11820986355275069</v>
      </c>
      <c r="P111" s="298">
        <v>0.11324661442841535</v>
      </c>
      <c r="Q111" s="298">
        <v>0.10591950094820782</v>
      </c>
      <c r="R111" s="298">
        <v>0.10181373046970461</v>
      </c>
      <c r="S111" s="298">
        <v>0.10181373046970461</v>
      </c>
      <c r="T111" s="298">
        <v>0.10181373046970461</v>
      </c>
      <c r="U111" s="298">
        <v>0.10181373046970461</v>
      </c>
    </row>
    <row r="112" spans="1:21" ht="14.4" x14ac:dyDescent="0.3">
      <c r="A112" s="43">
        <v>50</v>
      </c>
      <c r="B112" s="43"/>
      <c r="C112" s="1"/>
      <c r="D112" s="298">
        <v>0.15658261184107439</v>
      </c>
      <c r="E112" s="298">
        <v>6.9206297258360139E-2</v>
      </c>
      <c r="F112" s="298">
        <v>0.11719738000471913</v>
      </c>
      <c r="G112" s="298">
        <v>9.0950515996728487E-2</v>
      </c>
      <c r="H112" s="298">
        <v>5.6069430808107633E-2</v>
      </c>
      <c r="I112" s="298">
        <v>0.18457651004529252</v>
      </c>
      <c r="J112" s="298">
        <v>0.21861320828195963</v>
      </c>
      <c r="K112" s="298">
        <v>0.14805460867942424</v>
      </c>
      <c r="L112" s="298">
        <v>0.10865726471480185</v>
      </c>
      <c r="M112" s="298">
        <v>8.7921961526698345E-2</v>
      </c>
      <c r="N112" s="298">
        <v>5.8256465500538285E-2</v>
      </c>
      <c r="O112" s="298">
        <v>4.4253058727944716E-2</v>
      </c>
      <c r="P112" s="298">
        <v>3.9509788445304235E-2</v>
      </c>
      <c r="Q112" s="298">
        <v>2.9542651780987427E-2</v>
      </c>
      <c r="R112" s="298">
        <v>2.8071591122090556E-2</v>
      </c>
      <c r="S112" s="298">
        <v>2.8071591122090556E-2</v>
      </c>
      <c r="T112" s="298">
        <v>2.8071591122090556E-2</v>
      </c>
      <c r="U112" s="298">
        <v>2.8071591122090556E-2</v>
      </c>
    </row>
    <row r="113" spans="2:21" x14ac:dyDescent="0.25">
      <c r="D113" s="51"/>
    </row>
    <row r="114" spans="2:21" x14ac:dyDescent="0.25">
      <c r="B114" s="26" t="s">
        <v>5</v>
      </c>
      <c r="D114" s="32">
        <f t="shared" ref="D114:P114" si="7">SQRT(SUMSQ(D64:D112))</f>
        <v>163.93774717643851</v>
      </c>
      <c r="E114" s="32">
        <f t="shared" si="7"/>
        <v>113.48802501155089</v>
      </c>
      <c r="F114" s="32">
        <f t="shared" si="7"/>
        <v>92.201479834948017</v>
      </c>
      <c r="G114" s="32">
        <f t="shared" si="7"/>
        <v>70.914070764570482</v>
      </c>
      <c r="H114" s="32">
        <f t="shared" si="7"/>
        <v>54.750054571794223</v>
      </c>
      <c r="I114" s="32">
        <f t="shared" si="7"/>
        <v>45.409107972180678</v>
      </c>
      <c r="J114" s="32">
        <f t="shared" si="7"/>
        <v>40.452846599409661</v>
      </c>
      <c r="K114" s="32">
        <f t="shared" si="7"/>
        <v>36.567604373048553</v>
      </c>
      <c r="L114" s="32">
        <f t="shared" si="7"/>
        <v>33.722497172696237</v>
      </c>
      <c r="M114" s="32">
        <f t="shared" si="7"/>
        <v>31.537820676686238</v>
      </c>
      <c r="N114" s="32">
        <f t="shared" si="7"/>
        <v>28.353599859458789</v>
      </c>
      <c r="O114" s="32">
        <f t="shared" si="7"/>
        <v>26.003967172553079</v>
      </c>
      <c r="P114" s="32">
        <f t="shared" si="7"/>
        <v>24.160245237926446</v>
      </c>
      <c r="Q114" s="32">
        <f t="shared" ref="Q114:U114" si="8">SQRT(SUMSQ(Q64:Q112))</f>
        <v>21.249690073067327</v>
      </c>
      <c r="R114" s="32">
        <f t="shared" si="8"/>
        <v>21.247242746791578</v>
      </c>
      <c r="S114" s="32">
        <f t="shared" si="8"/>
        <v>21.247242746791578</v>
      </c>
      <c r="T114" s="32">
        <f t="shared" si="8"/>
        <v>21.247242746791578</v>
      </c>
      <c r="U114" s="32">
        <f t="shared" si="8"/>
        <v>21.247242746791578</v>
      </c>
    </row>
    <row r="116" spans="2:21" x14ac:dyDescent="0.25">
      <c r="D116" s="32"/>
      <c r="E116" s="32"/>
      <c r="F116" s="32"/>
      <c r="G116" s="32"/>
      <c r="H116" s="32"/>
      <c r="I116" s="32"/>
    </row>
    <row r="118" spans="2:21" x14ac:dyDescent="0.25">
      <c r="D118" s="32"/>
      <c r="E118" s="32"/>
      <c r="F118" s="32"/>
      <c r="G118" s="32"/>
      <c r="H118" s="32"/>
      <c r="I118" s="32"/>
    </row>
  </sheetData>
  <pageMargins left="0.75" right="0.75" top="1" bottom="1" header="0.5" footer="0.5"/>
  <pageSetup scale="86" fitToWidth="2" fitToHeight="2" orientation="portrait" r:id="rId1"/>
  <headerFooter alignWithMargins="0">
    <oddHeader>&amp;R&amp;D
&amp;T
rh</oddHeader>
    <oddFooter>&amp;L&amp;F
&amp;A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U118"/>
  <sheetViews>
    <sheetView workbookViewId="0"/>
  </sheetViews>
  <sheetFormatPr defaultRowHeight="13.2" x14ac:dyDescent="0.25"/>
  <cols>
    <col min="1" max="2" width="9.109375" style="26"/>
    <col min="3" max="4" width="9.109375" style="26" customWidth="1"/>
    <col min="5" max="6" width="9.109375" style="26"/>
    <col min="7" max="7" width="9.109375" style="26" customWidth="1"/>
    <col min="8" max="8" width="10.6640625" style="26" customWidth="1"/>
    <col min="9" max="15" width="9.109375" style="26"/>
    <col min="16" max="16" width="9.5546875" style="26" bestFit="1" customWidth="1"/>
    <col min="17" max="19" width="10.109375" style="26" customWidth="1"/>
    <col min="20" max="262" width="9.109375" style="26"/>
    <col min="263" max="263" width="9.5546875" style="26" bestFit="1" customWidth="1"/>
    <col min="264" max="264" width="10.6640625" style="26" customWidth="1"/>
    <col min="265" max="518" width="9.109375" style="26"/>
    <col min="519" max="519" width="9.5546875" style="26" bestFit="1" customWidth="1"/>
    <col min="520" max="520" width="10.6640625" style="26" customWidth="1"/>
    <col min="521" max="774" width="9.109375" style="26"/>
    <col min="775" max="775" width="9.5546875" style="26" bestFit="1" customWidth="1"/>
    <col min="776" max="776" width="10.6640625" style="26" customWidth="1"/>
    <col min="777" max="1030" width="9.109375" style="26"/>
    <col min="1031" max="1031" width="9.5546875" style="26" bestFit="1" customWidth="1"/>
    <col min="1032" max="1032" width="10.6640625" style="26" customWidth="1"/>
    <col min="1033" max="1286" width="9.109375" style="26"/>
    <col min="1287" max="1287" width="9.5546875" style="26" bestFit="1" customWidth="1"/>
    <col min="1288" max="1288" width="10.6640625" style="26" customWidth="1"/>
    <col min="1289" max="1542" width="9.109375" style="26"/>
    <col min="1543" max="1543" width="9.5546875" style="26" bestFit="1" customWidth="1"/>
    <col min="1544" max="1544" width="10.6640625" style="26" customWidth="1"/>
    <col min="1545" max="1798" width="9.109375" style="26"/>
    <col min="1799" max="1799" width="9.5546875" style="26" bestFit="1" customWidth="1"/>
    <col min="1800" max="1800" width="10.6640625" style="26" customWidth="1"/>
    <col min="1801" max="2054" width="9.109375" style="26"/>
    <col min="2055" max="2055" width="9.5546875" style="26" bestFit="1" customWidth="1"/>
    <col min="2056" max="2056" width="10.6640625" style="26" customWidth="1"/>
    <col min="2057" max="2310" width="9.109375" style="26"/>
    <col min="2311" max="2311" width="9.5546875" style="26" bestFit="1" customWidth="1"/>
    <col min="2312" max="2312" width="10.6640625" style="26" customWidth="1"/>
    <col min="2313" max="2566" width="9.109375" style="26"/>
    <col min="2567" max="2567" width="9.5546875" style="26" bestFit="1" customWidth="1"/>
    <col min="2568" max="2568" width="10.6640625" style="26" customWidth="1"/>
    <col min="2569" max="2822" width="9.109375" style="26"/>
    <col min="2823" max="2823" width="9.5546875" style="26" bestFit="1" customWidth="1"/>
    <col min="2824" max="2824" width="10.6640625" style="26" customWidth="1"/>
    <col min="2825" max="3078" width="9.109375" style="26"/>
    <col min="3079" max="3079" width="9.5546875" style="26" bestFit="1" customWidth="1"/>
    <col min="3080" max="3080" width="10.6640625" style="26" customWidth="1"/>
    <col min="3081" max="3334" width="9.109375" style="26"/>
    <col min="3335" max="3335" width="9.5546875" style="26" bestFit="1" customWidth="1"/>
    <col min="3336" max="3336" width="10.6640625" style="26" customWidth="1"/>
    <col min="3337" max="3590" width="9.109375" style="26"/>
    <col min="3591" max="3591" width="9.5546875" style="26" bestFit="1" customWidth="1"/>
    <col min="3592" max="3592" width="10.6640625" style="26" customWidth="1"/>
    <col min="3593" max="3846" width="9.109375" style="26"/>
    <col min="3847" max="3847" width="9.5546875" style="26" bestFit="1" customWidth="1"/>
    <col min="3848" max="3848" width="10.6640625" style="26" customWidth="1"/>
    <col min="3849" max="4102" width="9.109375" style="26"/>
    <col min="4103" max="4103" width="9.5546875" style="26" bestFit="1" customWidth="1"/>
    <col min="4104" max="4104" width="10.6640625" style="26" customWidth="1"/>
    <col min="4105" max="4358" width="9.109375" style="26"/>
    <col min="4359" max="4359" width="9.5546875" style="26" bestFit="1" customWidth="1"/>
    <col min="4360" max="4360" width="10.6640625" style="26" customWidth="1"/>
    <col min="4361" max="4614" width="9.109375" style="26"/>
    <col min="4615" max="4615" width="9.5546875" style="26" bestFit="1" customWidth="1"/>
    <col min="4616" max="4616" width="10.6640625" style="26" customWidth="1"/>
    <col min="4617" max="4870" width="9.109375" style="26"/>
    <col min="4871" max="4871" width="9.5546875" style="26" bestFit="1" customWidth="1"/>
    <col min="4872" max="4872" width="10.6640625" style="26" customWidth="1"/>
    <col min="4873" max="5126" width="9.109375" style="26"/>
    <col min="5127" max="5127" width="9.5546875" style="26" bestFit="1" customWidth="1"/>
    <col min="5128" max="5128" width="10.6640625" style="26" customWidth="1"/>
    <col min="5129" max="5382" width="9.109375" style="26"/>
    <col min="5383" max="5383" width="9.5546875" style="26" bestFit="1" customWidth="1"/>
    <col min="5384" max="5384" width="10.6640625" style="26" customWidth="1"/>
    <col min="5385" max="5638" width="9.109375" style="26"/>
    <col min="5639" max="5639" width="9.5546875" style="26" bestFit="1" customWidth="1"/>
    <col min="5640" max="5640" width="10.6640625" style="26" customWidth="1"/>
    <col min="5641" max="5894" width="9.109375" style="26"/>
    <col min="5895" max="5895" width="9.5546875" style="26" bestFit="1" customWidth="1"/>
    <col min="5896" max="5896" width="10.6640625" style="26" customWidth="1"/>
    <col min="5897" max="6150" width="9.109375" style="26"/>
    <col min="6151" max="6151" width="9.5546875" style="26" bestFit="1" customWidth="1"/>
    <col min="6152" max="6152" width="10.6640625" style="26" customWidth="1"/>
    <col min="6153" max="6406" width="9.109375" style="26"/>
    <col min="6407" max="6407" width="9.5546875" style="26" bestFit="1" customWidth="1"/>
    <col min="6408" max="6408" width="10.6640625" style="26" customWidth="1"/>
    <col min="6409" max="6662" width="9.109375" style="26"/>
    <col min="6663" max="6663" width="9.5546875" style="26" bestFit="1" customWidth="1"/>
    <col min="6664" max="6664" width="10.6640625" style="26" customWidth="1"/>
    <col min="6665" max="6918" width="9.109375" style="26"/>
    <col min="6919" max="6919" width="9.5546875" style="26" bestFit="1" customWidth="1"/>
    <col min="6920" max="6920" width="10.6640625" style="26" customWidth="1"/>
    <col min="6921" max="7174" width="9.109375" style="26"/>
    <col min="7175" max="7175" width="9.5546875" style="26" bestFit="1" customWidth="1"/>
    <col min="7176" max="7176" width="10.6640625" style="26" customWidth="1"/>
    <col min="7177" max="7430" width="9.109375" style="26"/>
    <col min="7431" max="7431" width="9.5546875" style="26" bestFit="1" customWidth="1"/>
    <col min="7432" max="7432" width="10.6640625" style="26" customWidth="1"/>
    <col min="7433" max="7686" width="9.109375" style="26"/>
    <col min="7687" max="7687" width="9.5546875" style="26" bestFit="1" customWidth="1"/>
    <col min="7688" max="7688" width="10.6640625" style="26" customWidth="1"/>
    <col min="7689" max="7942" width="9.109375" style="26"/>
    <col min="7943" max="7943" width="9.5546875" style="26" bestFit="1" customWidth="1"/>
    <col min="7944" max="7944" width="10.6640625" style="26" customWidth="1"/>
    <col min="7945" max="8198" width="9.109375" style="26"/>
    <col min="8199" max="8199" width="9.5546875" style="26" bestFit="1" customWidth="1"/>
    <col min="8200" max="8200" width="10.6640625" style="26" customWidth="1"/>
    <col min="8201" max="8454" width="9.109375" style="26"/>
    <col min="8455" max="8455" width="9.5546875" style="26" bestFit="1" customWidth="1"/>
    <col min="8456" max="8456" width="10.6640625" style="26" customWidth="1"/>
    <col min="8457" max="8710" width="9.109375" style="26"/>
    <col min="8711" max="8711" width="9.5546875" style="26" bestFit="1" customWidth="1"/>
    <col min="8712" max="8712" width="10.6640625" style="26" customWidth="1"/>
    <col min="8713" max="8966" width="9.109375" style="26"/>
    <col min="8967" max="8967" width="9.5546875" style="26" bestFit="1" customWidth="1"/>
    <col min="8968" max="8968" width="10.6640625" style="26" customWidth="1"/>
    <col min="8969" max="9222" width="9.109375" style="26"/>
    <col min="9223" max="9223" width="9.5546875" style="26" bestFit="1" customWidth="1"/>
    <col min="9224" max="9224" width="10.6640625" style="26" customWidth="1"/>
    <col min="9225" max="9478" width="9.109375" style="26"/>
    <col min="9479" max="9479" width="9.5546875" style="26" bestFit="1" customWidth="1"/>
    <col min="9480" max="9480" width="10.6640625" style="26" customWidth="1"/>
    <col min="9481" max="9734" width="9.109375" style="26"/>
    <col min="9735" max="9735" width="9.5546875" style="26" bestFit="1" customWidth="1"/>
    <col min="9736" max="9736" width="10.6640625" style="26" customWidth="1"/>
    <col min="9737" max="9990" width="9.109375" style="26"/>
    <col min="9991" max="9991" width="9.5546875" style="26" bestFit="1" customWidth="1"/>
    <col min="9992" max="9992" width="10.6640625" style="26" customWidth="1"/>
    <col min="9993" max="10246" width="9.109375" style="26"/>
    <col min="10247" max="10247" width="9.5546875" style="26" bestFit="1" customWidth="1"/>
    <col min="10248" max="10248" width="10.6640625" style="26" customWidth="1"/>
    <col min="10249" max="10502" width="9.109375" style="26"/>
    <col min="10503" max="10503" width="9.5546875" style="26" bestFit="1" customWidth="1"/>
    <col min="10504" max="10504" width="10.6640625" style="26" customWidth="1"/>
    <col min="10505" max="10758" width="9.109375" style="26"/>
    <col min="10759" max="10759" width="9.5546875" style="26" bestFit="1" customWidth="1"/>
    <col min="10760" max="10760" width="10.6640625" style="26" customWidth="1"/>
    <col min="10761" max="11014" width="9.109375" style="26"/>
    <col min="11015" max="11015" width="9.5546875" style="26" bestFit="1" customWidth="1"/>
    <col min="11016" max="11016" width="10.6640625" style="26" customWidth="1"/>
    <col min="11017" max="11270" width="9.109375" style="26"/>
    <col min="11271" max="11271" width="9.5546875" style="26" bestFit="1" customWidth="1"/>
    <col min="11272" max="11272" width="10.6640625" style="26" customWidth="1"/>
    <col min="11273" max="11526" width="9.109375" style="26"/>
    <col min="11527" max="11527" width="9.5546875" style="26" bestFit="1" customWidth="1"/>
    <col min="11528" max="11528" width="10.6640625" style="26" customWidth="1"/>
    <col min="11529" max="11782" width="9.109375" style="26"/>
    <col min="11783" max="11783" width="9.5546875" style="26" bestFit="1" customWidth="1"/>
    <col min="11784" max="11784" width="10.6640625" style="26" customWidth="1"/>
    <col min="11785" max="12038" width="9.109375" style="26"/>
    <col min="12039" max="12039" width="9.5546875" style="26" bestFit="1" customWidth="1"/>
    <col min="12040" max="12040" width="10.6640625" style="26" customWidth="1"/>
    <col min="12041" max="12294" width="9.109375" style="26"/>
    <col min="12295" max="12295" width="9.5546875" style="26" bestFit="1" customWidth="1"/>
    <col min="12296" max="12296" width="10.6640625" style="26" customWidth="1"/>
    <col min="12297" max="12550" width="9.109375" style="26"/>
    <col min="12551" max="12551" width="9.5546875" style="26" bestFit="1" customWidth="1"/>
    <col min="12552" max="12552" width="10.6640625" style="26" customWidth="1"/>
    <col min="12553" max="12806" width="9.109375" style="26"/>
    <col min="12807" max="12807" width="9.5546875" style="26" bestFit="1" customWidth="1"/>
    <col min="12808" max="12808" width="10.6640625" style="26" customWidth="1"/>
    <col min="12809" max="13062" width="9.109375" style="26"/>
    <col min="13063" max="13063" width="9.5546875" style="26" bestFit="1" customWidth="1"/>
    <col min="13064" max="13064" width="10.6640625" style="26" customWidth="1"/>
    <col min="13065" max="13318" width="9.109375" style="26"/>
    <col min="13319" max="13319" width="9.5546875" style="26" bestFit="1" customWidth="1"/>
    <col min="13320" max="13320" width="10.6640625" style="26" customWidth="1"/>
    <col min="13321" max="13574" width="9.109375" style="26"/>
    <col min="13575" max="13575" width="9.5546875" style="26" bestFit="1" customWidth="1"/>
    <col min="13576" max="13576" width="10.6640625" style="26" customWidth="1"/>
    <col min="13577" max="13830" width="9.109375" style="26"/>
    <col min="13831" max="13831" width="9.5546875" style="26" bestFit="1" customWidth="1"/>
    <col min="13832" max="13832" width="10.6640625" style="26" customWidth="1"/>
    <col min="13833" max="14086" width="9.109375" style="26"/>
    <col min="14087" max="14087" width="9.5546875" style="26" bestFit="1" customWidth="1"/>
    <col min="14088" max="14088" width="10.6640625" style="26" customWidth="1"/>
    <col min="14089" max="14342" width="9.109375" style="26"/>
    <col min="14343" max="14343" width="9.5546875" style="26" bestFit="1" customWidth="1"/>
    <col min="14344" max="14344" width="10.6640625" style="26" customWidth="1"/>
    <col min="14345" max="14598" width="9.109375" style="26"/>
    <col min="14599" max="14599" width="9.5546875" style="26" bestFit="1" customWidth="1"/>
    <col min="14600" max="14600" width="10.6640625" style="26" customWidth="1"/>
    <col min="14601" max="14854" width="9.109375" style="26"/>
    <col min="14855" max="14855" width="9.5546875" style="26" bestFit="1" customWidth="1"/>
    <col min="14856" max="14856" width="10.6640625" style="26" customWidth="1"/>
    <col min="14857" max="15110" width="9.109375" style="26"/>
    <col min="15111" max="15111" width="9.5546875" style="26" bestFit="1" customWidth="1"/>
    <col min="15112" max="15112" width="10.6640625" style="26" customWidth="1"/>
    <col min="15113" max="15366" width="9.109375" style="26"/>
    <col min="15367" max="15367" width="9.5546875" style="26" bestFit="1" customWidth="1"/>
    <col min="15368" max="15368" width="10.6640625" style="26" customWidth="1"/>
    <col min="15369" max="15622" width="9.109375" style="26"/>
    <col min="15623" max="15623" width="9.5546875" style="26" bestFit="1" customWidth="1"/>
    <col min="15624" max="15624" width="10.6640625" style="26" customWidth="1"/>
    <col min="15625" max="15878" width="9.109375" style="26"/>
    <col min="15879" max="15879" width="9.5546875" style="26" bestFit="1" customWidth="1"/>
    <col min="15880" max="15880" width="10.6640625" style="26" customWidth="1"/>
    <col min="15881" max="16134" width="9.109375" style="26"/>
    <col min="16135" max="16135" width="9.5546875" style="26" bestFit="1" customWidth="1"/>
    <col min="16136" max="16136" width="10.6640625" style="26" customWidth="1"/>
    <col min="16137" max="16384" width="9.109375" style="26"/>
  </cols>
  <sheetData>
    <row r="1" spans="1:15" ht="13.8" thickBot="1" x14ac:dyDescent="0.3">
      <c r="A1" s="84" t="s">
        <v>272</v>
      </c>
      <c r="B1" s="275" t="s">
        <v>402</v>
      </c>
      <c r="C1" s="33">
        <f>Drives!BA9</f>
        <v>38490.017945975058</v>
      </c>
      <c r="D1" s="28" t="s">
        <v>7</v>
      </c>
      <c r="E1" s="300">
        <v>3</v>
      </c>
      <c r="F1" s="301">
        <f>MAX(0.1,E1+100/C1)</f>
        <v>3.0025980762113531</v>
      </c>
      <c r="G1" s="36" t="s">
        <v>1</v>
      </c>
      <c r="H1" s="29">
        <f>IF(J1=0,0,H4/J1)</f>
        <v>0</v>
      </c>
      <c r="I1" s="54" t="s">
        <v>94</v>
      </c>
      <c r="J1" s="34">
        <f>Drives!Z9</f>
        <v>0</v>
      </c>
      <c r="K1" s="26" t="s">
        <v>84</v>
      </c>
      <c r="N1" s="254">
        <v>0.97</v>
      </c>
      <c r="O1" s="26" t="s">
        <v>176</v>
      </c>
    </row>
    <row r="2" spans="1:15" x14ac:dyDescent="0.25">
      <c r="A2" s="272" t="s">
        <v>88</v>
      </c>
      <c r="B2" s="276">
        <v>9</v>
      </c>
      <c r="D2" s="26">
        <f>C4+1</f>
        <v>5</v>
      </c>
      <c r="E2" s="27">
        <f>F1-C3</f>
        <v>2.5980762113531064E-3</v>
      </c>
      <c r="J2" s="29">
        <f>IF(J1&gt;=0.6, 0.7+(J1-0.6)*0.75, IF(J1&gt;=0.2, 0.3+(J1-0.2)*1, J1*1.5))</f>
        <v>0</v>
      </c>
      <c r="K2" s="26" t="s">
        <v>60</v>
      </c>
    </row>
    <row r="3" spans="1:15" ht="13.8" thickBot="1" x14ac:dyDescent="0.3">
      <c r="A3" s="43" t="s">
        <v>89</v>
      </c>
      <c r="C3" s="41">
        <f>HLOOKUP($F$1,$D$62:$U$113,(B3+1))</f>
        <v>3</v>
      </c>
      <c r="D3" s="41">
        <f>HLOOKUP($D$2,$D$61:$U$113,(B3+2))</f>
        <v>4</v>
      </c>
      <c r="E3" s="26">
        <f>D3-C3</f>
        <v>1</v>
      </c>
      <c r="F3" s="26">
        <f>IF(E3=0,1,E2/E3)</f>
        <v>2.5980762113531064E-3</v>
      </c>
      <c r="G3" s="27">
        <f>C3+(E3*F3)</f>
        <v>3.0025980762113531</v>
      </c>
      <c r="J3" s="31"/>
    </row>
    <row r="4" spans="1:15" ht="13.8" thickBot="1" x14ac:dyDescent="0.3">
      <c r="A4" s="43" t="s">
        <v>90</v>
      </c>
      <c r="B4" s="26">
        <v>1</v>
      </c>
      <c r="C4" s="36">
        <f t="shared" ref="C4:C53" si="0">HLOOKUP($F$1,$D$62:$U$113,(B4+1))</f>
        <v>4</v>
      </c>
      <c r="D4" s="36">
        <f t="shared" ref="D4:D53" si="1">HLOOKUP($D$2,$D$61:$U$113,(B4+2))</f>
        <v>5</v>
      </c>
      <c r="G4" s="27">
        <v>100</v>
      </c>
      <c r="H4" s="34">
        <f>Drives!AR9</f>
        <v>0</v>
      </c>
      <c r="I4" s="26" t="s">
        <v>53</v>
      </c>
    </row>
    <row r="5" spans="1:15" x14ac:dyDescent="0.25">
      <c r="A5" s="31"/>
      <c r="B5" s="26">
        <v>2</v>
      </c>
      <c r="C5" s="52">
        <f t="shared" si="0"/>
        <v>3.2432337711389723E-2</v>
      </c>
      <c r="D5" s="52">
        <f t="shared" si="1"/>
        <v>2.6794917304969575E-2</v>
      </c>
      <c r="E5" s="48">
        <f t="shared" ref="E5:E53" si="2">D5-C5</f>
        <v>-5.6374204064201482E-3</v>
      </c>
      <c r="F5" s="48">
        <f t="shared" ref="F5:F53" si="3">E5*$F$3</f>
        <v>-1.4646447851316748E-5</v>
      </c>
      <c r="G5" s="48">
        <f t="shared" ref="G5:G53" si="4">C5+F5</f>
        <v>3.2417691263538405E-2</v>
      </c>
      <c r="H5" s="30">
        <f>J$2*G5*$H$1/100</f>
        <v>0</v>
      </c>
    </row>
    <row r="6" spans="1:15" x14ac:dyDescent="0.25">
      <c r="A6" s="270" t="s">
        <v>405</v>
      </c>
      <c r="B6" s="26">
        <v>3</v>
      </c>
      <c r="C6" s="52">
        <f t="shared" si="0"/>
        <v>5.107248510230364</v>
      </c>
      <c r="D6" s="52">
        <f t="shared" si="1"/>
        <v>6.2072885442798249</v>
      </c>
      <c r="E6" s="48">
        <f t="shared" si="2"/>
        <v>1.1000400340494609</v>
      </c>
      <c r="F6" s="48">
        <f t="shared" si="3"/>
        <v>2.8579878439999656E-3</v>
      </c>
      <c r="G6" s="48">
        <f t="shared" si="4"/>
        <v>5.110106498074364</v>
      </c>
      <c r="H6" s="30">
        <f t="shared" ref="H6:H53" si="5">J$2*G6*$H$1/100</f>
        <v>0</v>
      </c>
    </row>
    <row r="7" spans="1:15" x14ac:dyDescent="0.25">
      <c r="A7" s="270" t="s">
        <v>92</v>
      </c>
      <c r="B7" s="26">
        <v>4</v>
      </c>
      <c r="C7" s="52">
        <f t="shared" si="0"/>
        <v>2.9673650735424224E-2</v>
      </c>
      <c r="D7" s="52">
        <f t="shared" si="1"/>
        <v>2.1212221057019379E-2</v>
      </c>
      <c r="E7" s="48">
        <f t="shared" si="2"/>
        <v>-8.4614296784048457E-3</v>
      </c>
      <c r="F7" s="48">
        <f t="shared" si="3"/>
        <v>-2.1983439161500794E-5</v>
      </c>
      <c r="G7" s="48">
        <f t="shared" si="4"/>
        <v>2.9651667296262722E-2</v>
      </c>
      <c r="H7" s="30">
        <f t="shared" si="5"/>
        <v>0</v>
      </c>
    </row>
    <row r="8" spans="1:15" x14ac:dyDescent="0.25">
      <c r="A8" s="50"/>
      <c r="B8" s="26">
        <v>5</v>
      </c>
      <c r="C8" s="52">
        <f t="shared" si="0"/>
        <v>49.382828970020235</v>
      </c>
      <c r="D8" s="52">
        <f t="shared" si="1"/>
        <v>41.72752692184784</v>
      </c>
      <c r="E8" s="48">
        <f t="shared" si="2"/>
        <v>-7.6553020481723948</v>
      </c>
      <c r="F8" s="48">
        <f t="shared" si="3"/>
        <v>-1.9889058142079412E-2</v>
      </c>
      <c r="G8" s="48">
        <f t="shared" si="4"/>
        <v>49.362939911878158</v>
      </c>
      <c r="H8" s="30">
        <f t="shared" si="5"/>
        <v>0</v>
      </c>
    </row>
    <row r="9" spans="1:15" x14ac:dyDescent="0.25">
      <c r="A9" s="50"/>
      <c r="B9" s="26">
        <v>6</v>
      </c>
      <c r="C9" s="52">
        <f t="shared" si="0"/>
        <v>1.9222702695116914E-3</v>
      </c>
      <c r="D9" s="52">
        <f t="shared" si="1"/>
        <v>1.1087146410300954E-2</v>
      </c>
      <c r="E9" s="48">
        <f t="shared" si="2"/>
        <v>9.1648761407892628E-3</v>
      </c>
      <c r="F9" s="48">
        <f t="shared" si="3"/>
        <v>2.3811046681382246E-5</v>
      </c>
      <c r="G9" s="48">
        <f t="shared" si="4"/>
        <v>1.9460813161930736E-3</v>
      </c>
      <c r="H9" s="30">
        <f t="shared" si="5"/>
        <v>0</v>
      </c>
    </row>
    <row r="10" spans="1:15" x14ac:dyDescent="0.25">
      <c r="B10" s="26">
        <v>7</v>
      </c>
      <c r="C10" s="52">
        <f t="shared" si="0"/>
        <v>20.70483242585701</v>
      </c>
      <c r="D10" s="52">
        <f t="shared" si="1"/>
        <v>13.8859457017344</v>
      </c>
      <c r="E10" s="48">
        <f t="shared" si="2"/>
        <v>-6.8188867241226099</v>
      </c>
      <c r="F10" s="48">
        <f t="shared" si="3"/>
        <v>-1.7715987385854465E-2</v>
      </c>
      <c r="G10" s="48">
        <f t="shared" si="4"/>
        <v>20.687116438471154</v>
      </c>
      <c r="H10" s="30">
        <f t="shared" si="5"/>
        <v>0</v>
      </c>
    </row>
    <row r="11" spans="1:15" x14ac:dyDescent="0.25">
      <c r="B11" s="26">
        <v>8</v>
      </c>
      <c r="C11" s="52">
        <f t="shared" si="0"/>
        <v>2.3564987660073828E-2</v>
      </c>
      <c r="D11" s="52">
        <f t="shared" si="1"/>
        <v>8.5355102461392024E-3</v>
      </c>
      <c r="E11" s="48">
        <f t="shared" si="2"/>
        <v>-1.5029477413934626E-2</v>
      </c>
      <c r="F11" s="48">
        <f t="shared" si="3"/>
        <v>-3.9047727738212357E-5</v>
      </c>
      <c r="G11" s="48">
        <f t="shared" si="4"/>
        <v>2.3525939932335614E-2</v>
      </c>
      <c r="H11" s="30">
        <f t="shared" si="5"/>
        <v>0</v>
      </c>
    </row>
    <row r="12" spans="1:15" x14ac:dyDescent="0.25">
      <c r="B12" s="26">
        <v>9</v>
      </c>
      <c r="C12" s="52">
        <f t="shared" si="0"/>
        <v>0.42447764331950832</v>
      </c>
      <c r="D12" s="52">
        <f t="shared" si="1"/>
        <v>1.0648962156533353</v>
      </c>
      <c r="E12" s="48">
        <f t="shared" si="2"/>
        <v>0.64041857233382693</v>
      </c>
      <c r="F12" s="48">
        <f t="shared" si="3"/>
        <v>1.6638562580892345E-3</v>
      </c>
      <c r="G12" s="48">
        <f t="shared" si="4"/>
        <v>0.42614149957759756</v>
      </c>
      <c r="H12" s="30">
        <f t="shared" si="5"/>
        <v>0</v>
      </c>
    </row>
    <row r="13" spans="1:15" x14ac:dyDescent="0.25">
      <c r="B13" s="26">
        <v>10</v>
      </c>
      <c r="C13" s="52">
        <f t="shared" si="0"/>
        <v>9.7072760067846587E-3</v>
      </c>
      <c r="D13" s="52">
        <f t="shared" si="1"/>
        <v>1.3760275349404955E-2</v>
      </c>
      <c r="E13" s="48">
        <f t="shared" si="2"/>
        <v>4.0529993426202966E-3</v>
      </c>
      <c r="F13" s="48">
        <f t="shared" si="3"/>
        <v>1.0530001176691571E-5</v>
      </c>
      <c r="G13" s="48">
        <f t="shared" si="4"/>
        <v>9.717806007961351E-3</v>
      </c>
      <c r="H13" s="30">
        <f t="shared" si="5"/>
        <v>0</v>
      </c>
    </row>
    <row r="14" spans="1:15" x14ac:dyDescent="0.25">
      <c r="B14" s="26">
        <v>11</v>
      </c>
      <c r="C14" s="52">
        <f t="shared" si="0"/>
        <v>7.6797975872700235</v>
      </c>
      <c r="D14" s="52">
        <f t="shared" si="1"/>
        <v>7.4570840283088478</v>
      </c>
      <c r="E14" s="48">
        <f t="shared" si="2"/>
        <v>-0.22271355896117573</v>
      </c>
      <c r="F14" s="48">
        <f t="shared" si="3"/>
        <v>-5.7862679948281811E-4</v>
      </c>
      <c r="G14" s="48">
        <f t="shared" si="4"/>
        <v>7.679218960470541</v>
      </c>
      <c r="H14" s="30">
        <f t="shared" si="5"/>
        <v>0</v>
      </c>
    </row>
    <row r="15" spans="1:15" x14ac:dyDescent="0.25">
      <c r="B15" s="26">
        <v>12</v>
      </c>
      <c r="C15" s="52">
        <f t="shared" si="0"/>
        <v>1.7455825337836627E-3</v>
      </c>
      <c r="D15" s="52">
        <f t="shared" si="1"/>
        <v>6.1922252654432195E-3</v>
      </c>
      <c r="E15" s="48">
        <f t="shared" si="2"/>
        <v>4.4466427316595565E-3</v>
      </c>
      <c r="F15" s="48">
        <f t="shared" si="3"/>
        <v>1.1552716701510889E-5</v>
      </c>
      <c r="G15" s="48">
        <f t="shared" si="4"/>
        <v>1.7571352504851736E-3</v>
      </c>
      <c r="H15" s="30">
        <f t="shared" si="5"/>
        <v>0</v>
      </c>
    </row>
    <row r="16" spans="1:15" x14ac:dyDescent="0.25">
      <c r="B16" s="26">
        <v>13</v>
      </c>
      <c r="C16" s="52">
        <f t="shared" si="0"/>
        <v>4.053836065316168</v>
      </c>
      <c r="D16" s="52">
        <f t="shared" si="1"/>
        <v>3.136813925533426</v>
      </c>
      <c r="E16" s="48">
        <f t="shared" si="2"/>
        <v>-0.91702213978274205</v>
      </c>
      <c r="F16" s="48">
        <f t="shared" si="3"/>
        <v>-2.382493406653665E-3</v>
      </c>
      <c r="G16" s="48">
        <f t="shared" si="4"/>
        <v>4.0514535719095139</v>
      </c>
      <c r="H16" s="30">
        <f t="shared" si="5"/>
        <v>0</v>
      </c>
    </row>
    <row r="17" spans="2:8" x14ac:dyDescent="0.25">
      <c r="B17" s="26">
        <v>14</v>
      </c>
      <c r="C17" s="52">
        <f t="shared" si="0"/>
        <v>1.5808693433503308E-2</v>
      </c>
      <c r="D17" s="52">
        <f t="shared" si="1"/>
        <v>1.1300571663228018E-2</v>
      </c>
      <c r="E17" s="48">
        <f t="shared" si="2"/>
        <v>-4.5081217702752901E-3</v>
      </c>
      <c r="F17" s="48">
        <f t="shared" si="3"/>
        <v>-1.1712443929235285E-5</v>
      </c>
      <c r="G17" s="48">
        <f t="shared" si="4"/>
        <v>1.5796980989574074E-2</v>
      </c>
      <c r="H17" s="30">
        <f t="shared" si="5"/>
        <v>0</v>
      </c>
    </row>
    <row r="18" spans="2:8" x14ac:dyDescent="0.25">
      <c r="B18" s="26">
        <v>15</v>
      </c>
      <c r="C18" s="52">
        <f t="shared" si="0"/>
        <v>0.19877874639876153</v>
      </c>
      <c r="D18" s="52">
        <f t="shared" si="1"/>
        <v>0.6117370588990978</v>
      </c>
      <c r="E18" s="48">
        <f t="shared" si="2"/>
        <v>0.41295831250033627</v>
      </c>
      <c r="F18" s="48">
        <f t="shared" si="3"/>
        <v>1.0728971679876459E-3</v>
      </c>
      <c r="G18" s="48">
        <f t="shared" si="4"/>
        <v>0.19985164356674917</v>
      </c>
      <c r="H18" s="30">
        <f t="shared" si="5"/>
        <v>0</v>
      </c>
    </row>
    <row r="19" spans="2:8" x14ac:dyDescent="0.25">
      <c r="B19" s="26">
        <v>16</v>
      </c>
      <c r="C19" s="52">
        <f t="shared" si="0"/>
        <v>8.8894084206710914E-3</v>
      </c>
      <c r="D19" s="52">
        <f t="shared" si="1"/>
        <v>9.8004503653837914E-3</v>
      </c>
      <c r="E19" s="48">
        <f t="shared" si="2"/>
        <v>9.1104194471270002E-4</v>
      </c>
      <c r="F19" s="48">
        <f t="shared" si="3"/>
        <v>2.366956404102938E-6</v>
      </c>
      <c r="G19" s="48">
        <f t="shared" si="4"/>
        <v>8.8917753770751951E-3</v>
      </c>
      <c r="H19" s="30">
        <f t="shared" si="5"/>
        <v>0</v>
      </c>
    </row>
    <row r="20" spans="2:8" x14ac:dyDescent="0.25">
      <c r="B20" s="26">
        <v>17</v>
      </c>
      <c r="C20" s="52">
        <f t="shared" si="0"/>
        <v>3.9361368606820331</v>
      </c>
      <c r="D20" s="52">
        <f t="shared" si="1"/>
        <v>3.5365888642625669</v>
      </c>
      <c r="E20" s="48">
        <f t="shared" si="2"/>
        <v>-0.39954799641946614</v>
      </c>
      <c r="F20" s="48">
        <f t="shared" si="3"/>
        <v>-1.0380561447912112E-3</v>
      </c>
      <c r="G20" s="48">
        <f t="shared" si="4"/>
        <v>3.9350988045372417</v>
      </c>
      <c r="H20" s="30">
        <f t="shared" si="5"/>
        <v>0</v>
      </c>
    </row>
    <row r="21" spans="2:8" x14ac:dyDescent="0.25">
      <c r="B21" s="26">
        <v>18</v>
      </c>
      <c r="C21" s="52">
        <f t="shared" si="0"/>
        <v>2.5800652861531514E-3</v>
      </c>
      <c r="D21" s="52">
        <f t="shared" si="1"/>
        <v>5.1323452366736095E-3</v>
      </c>
      <c r="E21" s="48">
        <f t="shared" si="2"/>
        <v>2.5522799505204581E-3</v>
      </c>
      <c r="F21" s="48">
        <f t="shared" si="3"/>
        <v>6.6310178241606855E-6</v>
      </c>
      <c r="G21" s="48">
        <f t="shared" si="4"/>
        <v>2.5866963039773119E-3</v>
      </c>
      <c r="H21" s="30">
        <f t="shared" si="5"/>
        <v>0</v>
      </c>
    </row>
    <row r="22" spans="2:8" x14ac:dyDescent="0.25">
      <c r="B22" s="26">
        <v>19</v>
      </c>
      <c r="C22" s="52">
        <f t="shared" si="0"/>
        <v>1.5612033953483941</v>
      </c>
      <c r="D22" s="52">
        <f t="shared" si="1"/>
        <v>1.435344927819425</v>
      </c>
      <c r="E22" s="48">
        <f t="shared" si="2"/>
        <v>-0.12585846752896912</v>
      </c>
      <c r="F22" s="48">
        <f t="shared" si="3"/>
        <v>-3.2698989048437208E-4</v>
      </c>
      <c r="G22" s="48">
        <f t="shared" si="4"/>
        <v>1.5608764054579098</v>
      </c>
      <c r="H22" s="30">
        <f t="shared" si="5"/>
        <v>0</v>
      </c>
    </row>
    <row r="23" spans="2:8" x14ac:dyDescent="0.25">
      <c r="B23" s="26">
        <v>20</v>
      </c>
      <c r="C23" s="52">
        <f t="shared" si="0"/>
        <v>1.3820648138552563E-2</v>
      </c>
      <c r="D23" s="52">
        <f t="shared" si="1"/>
        <v>1.2553645285502412E-2</v>
      </c>
      <c r="E23" s="48">
        <f t="shared" si="2"/>
        <v>-1.2670028530501511E-3</v>
      </c>
      <c r="F23" s="48">
        <f t="shared" si="3"/>
        <v>-3.2917699722261132E-6</v>
      </c>
      <c r="G23" s="48">
        <f t="shared" si="4"/>
        <v>1.3817356368580338E-2</v>
      </c>
      <c r="H23" s="30">
        <f t="shared" si="5"/>
        <v>0</v>
      </c>
    </row>
    <row r="24" spans="2:8" x14ac:dyDescent="0.25">
      <c r="B24" s="26">
        <v>21</v>
      </c>
      <c r="C24" s="52">
        <f t="shared" si="0"/>
        <v>0.12695962714013889</v>
      </c>
      <c r="D24" s="52">
        <f t="shared" si="1"/>
        <v>0.43156831387325317</v>
      </c>
      <c r="E24" s="48">
        <f t="shared" si="2"/>
        <v>0.30460868673311425</v>
      </c>
      <c r="F24" s="48">
        <f t="shared" si="3"/>
        <v>7.9139658277281469E-4</v>
      </c>
      <c r="G24" s="48">
        <f t="shared" si="4"/>
        <v>0.12775102372291169</v>
      </c>
      <c r="H24" s="30">
        <f t="shared" si="5"/>
        <v>0</v>
      </c>
    </row>
    <row r="25" spans="2:8" x14ac:dyDescent="0.25">
      <c r="B25" s="26">
        <v>22</v>
      </c>
      <c r="C25" s="52">
        <f t="shared" si="0"/>
        <v>8.0433131135157904E-3</v>
      </c>
      <c r="D25" s="52">
        <f t="shared" si="1"/>
        <v>9.1411482785596215E-3</v>
      </c>
      <c r="E25" s="48">
        <f t="shared" si="2"/>
        <v>1.0978351650438312E-3</v>
      </c>
      <c r="F25" s="48">
        <f t="shared" si="3"/>
        <v>2.8522594262872892E-6</v>
      </c>
      <c r="G25" s="48">
        <f t="shared" si="4"/>
        <v>8.0461653729420775E-3</v>
      </c>
      <c r="H25" s="30">
        <f t="shared" si="5"/>
        <v>0</v>
      </c>
    </row>
    <row r="26" spans="2:8" x14ac:dyDescent="0.25">
      <c r="B26" s="26">
        <v>23</v>
      </c>
      <c r="C26" s="52">
        <f t="shared" si="0"/>
        <v>2.2928087910650583</v>
      </c>
      <c r="D26" s="52">
        <f t="shared" si="1"/>
        <v>1.9472020944612196</v>
      </c>
      <c r="E26" s="48">
        <f t="shared" si="2"/>
        <v>-0.34560669660383869</v>
      </c>
      <c r="F26" s="48">
        <f t="shared" si="3"/>
        <v>-8.9791253693076369E-4</v>
      </c>
      <c r="G26" s="48">
        <f t="shared" si="4"/>
        <v>2.2919108785281277</v>
      </c>
      <c r="H26" s="30">
        <f t="shared" si="5"/>
        <v>0</v>
      </c>
    </row>
    <row r="27" spans="2:8" x14ac:dyDescent="0.25">
      <c r="B27" s="26">
        <v>24</v>
      </c>
      <c r="C27" s="52">
        <f t="shared" si="0"/>
        <v>3.0035667733548503E-3</v>
      </c>
      <c r="D27" s="52">
        <f t="shared" si="1"/>
        <v>5.3235417328994826E-3</v>
      </c>
      <c r="E27" s="48">
        <f t="shared" si="2"/>
        <v>2.3199749595446324E-3</v>
      </c>
      <c r="F27" s="48">
        <f t="shared" si="3"/>
        <v>6.0274717533277948E-6</v>
      </c>
      <c r="G27" s="48">
        <f t="shared" si="4"/>
        <v>3.0095942451081781E-3</v>
      </c>
      <c r="H27" s="30">
        <f t="shared" si="5"/>
        <v>0</v>
      </c>
    </row>
    <row r="28" spans="2:8" x14ac:dyDescent="0.25">
      <c r="B28" s="26">
        <v>25</v>
      </c>
      <c r="C28" s="52">
        <f t="shared" si="0"/>
        <v>0.9812541545579192</v>
      </c>
      <c r="D28" s="52">
        <f t="shared" si="1"/>
        <v>0.87516515937476913</v>
      </c>
      <c r="E28" s="48">
        <f t="shared" si="2"/>
        <v>-0.10608899518315007</v>
      </c>
      <c r="F28" s="48">
        <f t="shared" si="3"/>
        <v>-2.7562729467169646E-4</v>
      </c>
      <c r="G28" s="48">
        <f t="shared" si="4"/>
        <v>0.98097852726324752</v>
      </c>
      <c r="H28" s="30">
        <f t="shared" si="5"/>
        <v>0</v>
      </c>
    </row>
    <row r="29" spans="2:8" x14ac:dyDescent="0.25">
      <c r="B29" s="26">
        <v>26</v>
      </c>
      <c r="C29" s="52">
        <f t="shared" si="0"/>
        <v>1.4413765296386657E-2</v>
      </c>
      <c r="D29" s="52">
        <f t="shared" si="1"/>
        <v>1.340051166752103E-2</v>
      </c>
      <c r="E29" s="48">
        <f t="shared" si="2"/>
        <v>-1.0132536288656267E-3</v>
      </c>
      <c r="F29" s="48">
        <f t="shared" si="3"/>
        <v>-2.6325101492229938E-6</v>
      </c>
      <c r="G29" s="48">
        <f t="shared" si="4"/>
        <v>1.4411132786237435E-2</v>
      </c>
      <c r="H29" s="30">
        <f t="shared" si="5"/>
        <v>0</v>
      </c>
    </row>
    <row r="30" spans="2:8" x14ac:dyDescent="0.25">
      <c r="B30" s="26">
        <v>27</v>
      </c>
      <c r="C30" s="52">
        <f t="shared" si="0"/>
        <v>9.1193806224074303E-2</v>
      </c>
      <c r="D30" s="52">
        <f t="shared" si="1"/>
        <v>0.33088372878460953</v>
      </c>
      <c r="E30" s="48">
        <f t="shared" si="2"/>
        <v>0.23968992256053523</v>
      </c>
      <c r="F30" s="48">
        <f t="shared" si="3"/>
        <v>6.2273268590559488E-4</v>
      </c>
      <c r="G30" s="48">
        <f t="shared" si="4"/>
        <v>9.18165389099799E-2</v>
      </c>
      <c r="H30" s="30">
        <f t="shared" si="5"/>
        <v>0</v>
      </c>
    </row>
    <row r="31" spans="2:8" x14ac:dyDescent="0.25">
      <c r="B31" s="26">
        <v>28</v>
      </c>
      <c r="C31" s="52">
        <f t="shared" si="0"/>
        <v>6.9611130983163278E-3</v>
      </c>
      <c r="D31" s="52">
        <f t="shared" si="1"/>
        <v>8.5362681900183323E-3</v>
      </c>
      <c r="E31" s="48">
        <f t="shared" si="2"/>
        <v>1.5751550917020045E-3</v>
      </c>
      <c r="F31" s="48">
        <f t="shared" si="3"/>
        <v>4.0923729729426983E-6</v>
      </c>
      <c r="G31" s="48">
        <f t="shared" si="4"/>
        <v>6.9652054712892701E-3</v>
      </c>
      <c r="H31" s="30">
        <f t="shared" si="5"/>
        <v>0</v>
      </c>
    </row>
    <row r="32" spans="2:8" x14ac:dyDescent="0.25">
      <c r="B32" s="26">
        <v>29</v>
      </c>
      <c r="C32" s="52">
        <f t="shared" si="0"/>
        <v>1.3999934630363924</v>
      </c>
      <c r="D32" s="52">
        <f t="shared" si="1"/>
        <v>1.0907850218496227</v>
      </c>
      <c r="E32" s="48">
        <f t="shared" si="2"/>
        <v>-0.30920844118676971</v>
      </c>
      <c r="F32" s="48">
        <f t="shared" si="3"/>
        <v>-8.033470953969225E-4</v>
      </c>
      <c r="G32" s="48">
        <f t="shared" si="4"/>
        <v>1.3991901159409954</v>
      </c>
      <c r="H32" s="30">
        <f t="shared" si="5"/>
        <v>0</v>
      </c>
    </row>
    <row r="33" spans="2:8" x14ac:dyDescent="0.25">
      <c r="B33" s="26">
        <v>30</v>
      </c>
      <c r="C33" s="52">
        <f t="shared" si="0"/>
        <v>3.2920300374340902E-3</v>
      </c>
      <c r="D33" s="52">
        <f t="shared" si="1"/>
        <v>5.0314868423076246E-3</v>
      </c>
      <c r="E33" s="48">
        <f t="shared" si="2"/>
        <v>1.7394568048735345E-3</v>
      </c>
      <c r="F33" s="48">
        <f t="shared" si="3"/>
        <v>4.5192413454182117E-6</v>
      </c>
      <c r="G33" s="48">
        <f t="shared" si="4"/>
        <v>3.2965492787795083E-3</v>
      </c>
      <c r="H33" s="30">
        <f t="shared" si="5"/>
        <v>0</v>
      </c>
    </row>
    <row r="34" spans="2:8" x14ac:dyDescent="0.25">
      <c r="B34" s="26">
        <v>31</v>
      </c>
      <c r="C34" s="52">
        <f t="shared" si="0"/>
        <v>0.68512353629472578</v>
      </c>
      <c r="D34" s="52">
        <f t="shared" si="1"/>
        <v>0.58112005814292844</v>
      </c>
      <c r="E34" s="48">
        <f t="shared" si="2"/>
        <v>-0.10400347815179734</v>
      </c>
      <c r="F34" s="48">
        <f t="shared" si="3"/>
        <v>-2.7020896248416721E-4</v>
      </c>
      <c r="G34" s="48">
        <f t="shared" si="4"/>
        <v>0.68485332733224158</v>
      </c>
      <c r="H34" s="30">
        <f t="shared" si="5"/>
        <v>0</v>
      </c>
    </row>
    <row r="35" spans="2:8" x14ac:dyDescent="0.25">
      <c r="B35" s="26">
        <v>32</v>
      </c>
      <c r="C35" s="52">
        <f t="shared" si="0"/>
        <v>1.4563606306652922E-2</v>
      </c>
      <c r="D35" s="52">
        <f t="shared" si="1"/>
        <v>1.305927336868163E-2</v>
      </c>
      <c r="E35" s="48">
        <f t="shared" si="2"/>
        <v>-1.5043329379712915E-3</v>
      </c>
      <c r="F35" s="48">
        <f t="shared" si="3"/>
        <v>-3.9083716200981403E-6</v>
      </c>
      <c r="G35" s="48">
        <f t="shared" si="4"/>
        <v>1.4559697935032824E-2</v>
      </c>
      <c r="H35" s="30">
        <f t="shared" si="5"/>
        <v>0</v>
      </c>
    </row>
    <row r="36" spans="2:8" x14ac:dyDescent="0.25">
      <c r="B36" s="26">
        <v>33</v>
      </c>
      <c r="C36" s="52">
        <f t="shared" si="0"/>
        <v>7.0763148414675126E-2</v>
      </c>
      <c r="D36" s="52">
        <f t="shared" si="1"/>
        <v>0.26563628264177047</v>
      </c>
      <c r="E36" s="48">
        <f t="shared" si="2"/>
        <v>0.19487313422709535</v>
      </c>
      <c r="F36" s="48">
        <f t="shared" si="3"/>
        <v>5.0629525426723729E-4</v>
      </c>
      <c r="G36" s="48">
        <f t="shared" si="4"/>
        <v>7.1269443668942362E-2</v>
      </c>
      <c r="H36" s="30">
        <f t="shared" si="5"/>
        <v>0</v>
      </c>
    </row>
    <row r="37" spans="2:8" x14ac:dyDescent="0.25">
      <c r="B37" s="26">
        <v>34</v>
      </c>
      <c r="C37" s="52">
        <f t="shared" si="0"/>
        <v>5.6069430808107633E-2</v>
      </c>
      <c r="D37" s="52">
        <f t="shared" si="1"/>
        <v>0.18457651004529252</v>
      </c>
      <c r="E37" s="48">
        <f t="shared" si="2"/>
        <v>0.12850707923718488</v>
      </c>
      <c r="F37" s="48">
        <f t="shared" si="3"/>
        <v>3.3387118555659875E-4</v>
      </c>
      <c r="G37" s="48">
        <f t="shared" si="4"/>
        <v>5.640330199366423E-2</v>
      </c>
      <c r="H37" s="30">
        <f t="shared" si="5"/>
        <v>0</v>
      </c>
    </row>
    <row r="38" spans="2:8" x14ac:dyDescent="0.25">
      <c r="B38" s="26">
        <v>35</v>
      </c>
      <c r="C38" s="52">
        <f t="shared" si="0"/>
        <v>0.95078684693100002</v>
      </c>
      <c r="D38" s="52">
        <f t="shared" si="1"/>
        <v>0.68755518357204037</v>
      </c>
      <c r="E38" s="48">
        <f t="shared" si="2"/>
        <v>-0.26323166335895964</v>
      </c>
      <c r="F38" s="48">
        <f t="shared" si="3"/>
        <v>-6.838959226478222E-4</v>
      </c>
      <c r="G38" s="48">
        <f t="shared" si="4"/>
        <v>0.95010295100835218</v>
      </c>
      <c r="H38" s="30">
        <f t="shared" si="5"/>
        <v>0</v>
      </c>
    </row>
    <row r="39" spans="2:8" x14ac:dyDescent="0.25">
      <c r="B39" s="26">
        <v>36</v>
      </c>
      <c r="C39" s="52">
        <f t="shared" si="0"/>
        <v>5.6069430808107633E-2</v>
      </c>
      <c r="D39" s="52">
        <f t="shared" si="1"/>
        <v>0.18457651004529252</v>
      </c>
      <c r="E39" s="48">
        <f t="shared" si="2"/>
        <v>0.12850707923718488</v>
      </c>
      <c r="F39" s="48">
        <f t="shared" si="3"/>
        <v>3.3387118555659875E-4</v>
      </c>
      <c r="G39" s="48">
        <f t="shared" si="4"/>
        <v>5.640330199366423E-2</v>
      </c>
      <c r="H39" s="30">
        <f t="shared" si="5"/>
        <v>0</v>
      </c>
    </row>
    <row r="40" spans="2:8" x14ac:dyDescent="0.25">
      <c r="B40" s="26">
        <v>37</v>
      </c>
      <c r="C40" s="52">
        <f t="shared" si="0"/>
        <v>0.44571284137714501</v>
      </c>
      <c r="D40" s="52">
        <f t="shared" si="1"/>
        <v>0.35071388358174704</v>
      </c>
      <c r="E40" s="48">
        <f t="shared" si="2"/>
        <v>-9.4998957795397965E-2</v>
      </c>
      <c r="F40" s="48">
        <f t="shared" si="3"/>
        <v>-2.468145323515612E-4</v>
      </c>
      <c r="G40" s="48">
        <f t="shared" si="4"/>
        <v>0.44546602684479347</v>
      </c>
      <c r="H40" s="30">
        <f t="shared" si="5"/>
        <v>0</v>
      </c>
    </row>
    <row r="41" spans="2:8" x14ac:dyDescent="0.25">
      <c r="B41" s="26">
        <v>38</v>
      </c>
      <c r="C41" s="52">
        <f t="shared" si="0"/>
        <v>5.6069430808107633E-2</v>
      </c>
      <c r="D41" s="52">
        <f t="shared" si="1"/>
        <v>0.18457651004529252</v>
      </c>
      <c r="E41" s="48">
        <f t="shared" si="2"/>
        <v>0.12850707923718488</v>
      </c>
      <c r="F41" s="48">
        <f t="shared" si="3"/>
        <v>3.3387118555659875E-4</v>
      </c>
      <c r="G41" s="48">
        <f t="shared" si="4"/>
        <v>5.640330199366423E-2</v>
      </c>
      <c r="H41" s="30">
        <f t="shared" si="5"/>
        <v>0</v>
      </c>
    </row>
    <row r="42" spans="2:8" x14ac:dyDescent="0.25">
      <c r="B42" s="26">
        <v>39</v>
      </c>
      <c r="C42" s="52">
        <f t="shared" si="0"/>
        <v>6.014929527512837E-2</v>
      </c>
      <c r="D42" s="52">
        <f t="shared" si="1"/>
        <v>0.21949671273146126</v>
      </c>
      <c r="E42" s="48">
        <f t="shared" si="2"/>
        <v>0.15934741745633291</v>
      </c>
      <c r="F42" s="48">
        <f t="shared" si="3"/>
        <v>4.1399673463385123E-4</v>
      </c>
      <c r="G42" s="48">
        <f t="shared" si="4"/>
        <v>6.0563292009762223E-2</v>
      </c>
      <c r="H42" s="30">
        <f t="shared" si="5"/>
        <v>0</v>
      </c>
    </row>
    <row r="43" spans="2:8" x14ac:dyDescent="0.25">
      <c r="B43" s="26">
        <v>40</v>
      </c>
      <c r="C43" s="52">
        <f t="shared" si="0"/>
        <v>5.6069430808107633E-2</v>
      </c>
      <c r="D43" s="52">
        <f t="shared" si="1"/>
        <v>0.18457651004529252</v>
      </c>
      <c r="E43" s="48">
        <f t="shared" si="2"/>
        <v>0.12850707923718488</v>
      </c>
      <c r="F43" s="48">
        <f t="shared" si="3"/>
        <v>3.3387118555659875E-4</v>
      </c>
      <c r="G43" s="48">
        <f t="shared" si="4"/>
        <v>5.640330199366423E-2</v>
      </c>
      <c r="H43" s="30">
        <f t="shared" si="5"/>
        <v>0</v>
      </c>
    </row>
    <row r="44" spans="2:8" x14ac:dyDescent="0.25">
      <c r="B44" s="26">
        <v>41</v>
      </c>
      <c r="C44" s="52">
        <f t="shared" si="0"/>
        <v>0.64986432358583057</v>
      </c>
      <c r="D44" s="52">
        <f t="shared" si="1"/>
        <v>0.49479101470748305</v>
      </c>
      <c r="E44" s="48">
        <f t="shared" si="2"/>
        <v>-0.15507330887834753</v>
      </c>
      <c r="F44" s="48">
        <f t="shared" si="3"/>
        <v>-4.0289227481264716E-4</v>
      </c>
      <c r="G44" s="48">
        <f t="shared" si="4"/>
        <v>0.64946143131101797</v>
      </c>
      <c r="H44" s="30">
        <f t="shared" si="5"/>
        <v>0</v>
      </c>
    </row>
    <row r="45" spans="2:8" x14ac:dyDescent="0.25">
      <c r="B45" s="26">
        <v>42</v>
      </c>
      <c r="C45" s="52">
        <f t="shared" si="0"/>
        <v>5.6069430808107633E-2</v>
      </c>
      <c r="D45" s="52">
        <f t="shared" si="1"/>
        <v>0.18457651004529252</v>
      </c>
      <c r="E45" s="48">
        <f t="shared" si="2"/>
        <v>0.12850707923718488</v>
      </c>
      <c r="F45" s="48">
        <f t="shared" si="3"/>
        <v>3.3387118555659875E-4</v>
      </c>
      <c r="G45" s="48">
        <f t="shared" si="4"/>
        <v>5.640330199366423E-2</v>
      </c>
      <c r="H45" s="30">
        <f t="shared" si="5"/>
        <v>0</v>
      </c>
    </row>
    <row r="46" spans="2:8" x14ac:dyDescent="0.25">
      <c r="B46" s="26">
        <v>43</v>
      </c>
      <c r="C46" s="52">
        <f t="shared" si="0"/>
        <v>0.28528173727691464</v>
      </c>
      <c r="D46" s="52">
        <f t="shared" si="1"/>
        <v>0.21779752656057286</v>
      </c>
      <c r="E46" s="48">
        <f t="shared" si="2"/>
        <v>-6.748421071634178E-2</v>
      </c>
      <c r="F46" s="48">
        <f t="shared" si="3"/>
        <v>-1.7532912250406795E-4</v>
      </c>
      <c r="G46" s="48">
        <f t="shared" si="4"/>
        <v>0.28510640815441057</v>
      </c>
      <c r="H46" s="30">
        <f t="shared" si="5"/>
        <v>0</v>
      </c>
    </row>
    <row r="47" spans="2:8" x14ac:dyDescent="0.25">
      <c r="B47" s="26">
        <v>44</v>
      </c>
      <c r="C47" s="52">
        <f t="shared" si="0"/>
        <v>5.6069430808107633E-2</v>
      </c>
      <c r="D47" s="52">
        <f t="shared" si="1"/>
        <v>0.18457651004529252</v>
      </c>
      <c r="E47" s="48">
        <f t="shared" si="2"/>
        <v>0.12850707923718488</v>
      </c>
      <c r="F47" s="48">
        <f t="shared" si="3"/>
        <v>3.3387118555659875E-4</v>
      </c>
      <c r="G47" s="48">
        <f t="shared" si="4"/>
        <v>5.640330199366423E-2</v>
      </c>
      <c r="H47" s="30">
        <f t="shared" si="5"/>
        <v>0</v>
      </c>
    </row>
    <row r="48" spans="2:8" x14ac:dyDescent="0.25">
      <c r="B48" s="26">
        <v>45</v>
      </c>
      <c r="C48" s="52">
        <f t="shared" si="0"/>
        <v>5.5974795488511517E-2</v>
      </c>
      <c r="D48" s="52">
        <f t="shared" si="1"/>
        <v>0.18455139999068912</v>
      </c>
      <c r="E48" s="48">
        <f t="shared" si="2"/>
        <v>0.12857660450217762</v>
      </c>
      <c r="F48" s="48">
        <f t="shared" si="3"/>
        <v>3.3405181749366437E-4</v>
      </c>
      <c r="G48" s="48">
        <f t="shared" si="4"/>
        <v>5.6308847306005182E-2</v>
      </c>
      <c r="H48" s="30">
        <f t="shared" si="5"/>
        <v>0</v>
      </c>
    </row>
    <row r="49" spans="1:21" x14ac:dyDescent="0.25">
      <c r="B49" s="26">
        <v>46</v>
      </c>
      <c r="C49" s="52">
        <f t="shared" si="0"/>
        <v>5.6069430808107633E-2</v>
      </c>
      <c r="D49" s="52">
        <f t="shared" si="1"/>
        <v>0.18457651004529252</v>
      </c>
      <c r="E49" s="48">
        <f t="shared" si="2"/>
        <v>0.12850707923718488</v>
      </c>
      <c r="F49" s="48">
        <f t="shared" si="3"/>
        <v>3.3387118555659875E-4</v>
      </c>
      <c r="G49" s="48">
        <f t="shared" si="4"/>
        <v>5.640330199366423E-2</v>
      </c>
      <c r="H49" s="30">
        <f t="shared" si="5"/>
        <v>0</v>
      </c>
    </row>
    <row r="50" spans="1:21" x14ac:dyDescent="0.25">
      <c r="B50" s="26">
        <v>47</v>
      </c>
      <c r="C50" s="52">
        <f t="shared" si="0"/>
        <v>0.44928960665019158</v>
      </c>
      <c r="D50" s="52">
        <f t="shared" si="1"/>
        <v>0.41294151992551731</v>
      </c>
      <c r="E50" s="48">
        <f t="shared" si="2"/>
        <v>-3.6348086724674267E-2</v>
      </c>
      <c r="F50" s="48">
        <f t="shared" si="3"/>
        <v>-9.4435099447575866E-5</v>
      </c>
      <c r="G50" s="48">
        <f t="shared" si="4"/>
        <v>0.44919517155074401</v>
      </c>
      <c r="H50" s="30">
        <f t="shared" si="5"/>
        <v>0</v>
      </c>
    </row>
    <row r="51" spans="1:21" x14ac:dyDescent="0.25">
      <c r="B51" s="26">
        <v>48</v>
      </c>
      <c r="C51" s="52">
        <f t="shared" si="0"/>
        <v>5.6069430808107633E-2</v>
      </c>
      <c r="D51" s="52">
        <f t="shared" si="1"/>
        <v>0.18457651004529252</v>
      </c>
      <c r="E51" s="48">
        <f t="shared" si="2"/>
        <v>0.12850707923718488</v>
      </c>
      <c r="F51" s="48">
        <f t="shared" si="3"/>
        <v>3.3387118555659875E-4</v>
      </c>
      <c r="G51" s="48">
        <f t="shared" si="4"/>
        <v>5.640330199366423E-2</v>
      </c>
      <c r="H51" s="30">
        <f t="shared" si="5"/>
        <v>0</v>
      </c>
    </row>
    <row r="52" spans="1:21" x14ac:dyDescent="0.25">
      <c r="B52" s="26">
        <v>49</v>
      </c>
      <c r="C52" s="52">
        <f t="shared" si="0"/>
        <v>0.20472977887589594</v>
      </c>
      <c r="D52" s="52">
        <f t="shared" si="1"/>
        <v>0.16067909526322774</v>
      </c>
      <c r="E52" s="48">
        <f t="shared" si="2"/>
        <v>-4.4050683612668201E-2</v>
      </c>
      <c r="F52" s="48">
        <f t="shared" si="3"/>
        <v>-1.1444703318791537E-4</v>
      </c>
      <c r="G52" s="48">
        <f t="shared" si="4"/>
        <v>0.20461533184270803</v>
      </c>
      <c r="H52" s="30">
        <f t="shared" si="5"/>
        <v>0</v>
      </c>
    </row>
    <row r="53" spans="1:21" x14ac:dyDescent="0.25">
      <c r="B53" s="26">
        <v>50</v>
      </c>
      <c r="C53" s="52">
        <f t="shared" si="0"/>
        <v>5.6069430808107633E-2</v>
      </c>
      <c r="D53" s="52">
        <f t="shared" si="1"/>
        <v>0.18457651004529252</v>
      </c>
      <c r="E53" s="48">
        <f t="shared" si="2"/>
        <v>0.12850707923718488</v>
      </c>
      <c r="F53" s="48">
        <f t="shared" si="3"/>
        <v>3.3387118555659875E-4</v>
      </c>
      <c r="G53" s="48">
        <f t="shared" si="4"/>
        <v>5.640330199366423E-2</v>
      </c>
      <c r="H53" s="30">
        <f t="shared" si="5"/>
        <v>0</v>
      </c>
    </row>
    <row r="54" spans="1:21" x14ac:dyDescent="0.25">
      <c r="E54" s="32"/>
      <c r="F54" s="32"/>
    </row>
    <row r="55" spans="1:21" x14ac:dyDescent="0.25">
      <c r="F55" s="26" t="s">
        <v>85</v>
      </c>
      <c r="G55" s="29">
        <f>IF(H4=0,0,100*H55/H4)</f>
        <v>0</v>
      </c>
      <c r="H55" s="29">
        <f>SQRT(SUMSQ(H5:H53))</f>
        <v>0</v>
      </c>
      <c r="I55" s="26" t="s">
        <v>52</v>
      </c>
    </row>
    <row r="56" spans="1:21" x14ac:dyDescent="0.25">
      <c r="F56" s="26" t="s">
        <v>86</v>
      </c>
      <c r="G56" s="29">
        <f>SQRT(SUMSQ(G4:G53))</f>
        <v>113.99498290564325</v>
      </c>
      <c r="H56" s="29">
        <f>SQRT(SUMSQ(H4:H53))</f>
        <v>0</v>
      </c>
      <c r="I56" s="26" t="s">
        <v>54</v>
      </c>
    </row>
    <row r="57" spans="1:21" x14ac:dyDescent="0.25">
      <c r="G57" s="26" t="s">
        <v>87</v>
      </c>
      <c r="H57" s="26" t="s">
        <v>13</v>
      </c>
    </row>
    <row r="59" spans="1:21" x14ac:dyDescent="0.25">
      <c r="A59" s="25" t="s">
        <v>63</v>
      </c>
      <c r="C59" s="36"/>
      <c r="D59" s="36"/>
      <c r="E59" s="36"/>
      <c r="F59" s="36"/>
      <c r="G59" s="36"/>
      <c r="H59" s="36"/>
      <c r="I59" s="36"/>
      <c r="J59" s="36"/>
      <c r="K59" s="36"/>
      <c r="L59" s="36"/>
      <c r="M59" s="36"/>
      <c r="N59" s="36"/>
      <c r="O59" s="36"/>
      <c r="P59" s="36"/>
      <c r="Q59" s="36"/>
      <c r="R59" s="36"/>
      <c r="S59" s="36"/>
    </row>
    <row r="60" spans="1:21" ht="14.4" x14ac:dyDescent="0.3">
      <c r="C60" s="1" t="s">
        <v>478</v>
      </c>
      <c r="D60" s="7">
        <f>100/D62</f>
        <v>1000</v>
      </c>
      <c r="E60" s="7">
        <f t="shared" ref="E60:U60" si="6">100/E62</f>
        <v>200</v>
      </c>
      <c r="F60" s="7">
        <f t="shared" si="6"/>
        <v>100</v>
      </c>
      <c r="G60" s="7">
        <f t="shared" si="6"/>
        <v>50</v>
      </c>
      <c r="H60" s="7">
        <f t="shared" si="6"/>
        <v>33.333333333333336</v>
      </c>
      <c r="I60" s="7">
        <f t="shared" si="6"/>
        <v>25</v>
      </c>
      <c r="J60" s="7">
        <f t="shared" si="6"/>
        <v>20</v>
      </c>
      <c r="K60" s="7">
        <f t="shared" si="6"/>
        <v>16.666666666666668</v>
      </c>
      <c r="L60" s="7">
        <f t="shared" si="6"/>
        <v>14.285714285714286</v>
      </c>
      <c r="M60" s="7">
        <f t="shared" si="6"/>
        <v>12.5</v>
      </c>
      <c r="N60" s="7">
        <f t="shared" si="6"/>
        <v>10</v>
      </c>
      <c r="O60" s="7">
        <f t="shared" si="6"/>
        <v>8.3333333333333339</v>
      </c>
      <c r="P60" s="7">
        <f t="shared" si="6"/>
        <v>7.1428571428571432</v>
      </c>
      <c r="Q60" s="7">
        <f t="shared" si="6"/>
        <v>5.5555555555555554</v>
      </c>
      <c r="R60" s="7">
        <f t="shared" si="6"/>
        <v>4.7619047619047619</v>
      </c>
      <c r="S60" s="7">
        <f t="shared" si="6"/>
        <v>1</v>
      </c>
      <c r="T60" s="7">
        <f t="shared" si="6"/>
        <v>0.1</v>
      </c>
      <c r="U60" s="7">
        <f t="shared" si="6"/>
        <v>0.01</v>
      </c>
    </row>
    <row r="61" spans="1:21" ht="14.4" x14ac:dyDescent="0.3">
      <c r="C61" s="1" t="s">
        <v>64</v>
      </c>
      <c r="D61">
        <v>0</v>
      </c>
      <c r="E61">
        <v>1</v>
      </c>
      <c r="F61">
        <v>2</v>
      </c>
      <c r="G61">
        <v>3</v>
      </c>
      <c r="H61">
        <v>4</v>
      </c>
      <c r="I61">
        <v>5</v>
      </c>
      <c r="J61">
        <v>6</v>
      </c>
      <c r="K61">
        <v>7</v>
      </c>
      <c r="L61">
        <v>8</v>
      </c>
      <c r="M61">
        <v>9</v>
      </c>
      <c r="N61">
        <v>10</v>
      </c>
      <c r="O61">
        <v>11</v>
      </c>
      <c r="P61">
        <v>12</v>
      </c>
      <c r="Q61">
        <v>13</v>
      </c>
      <c r="R61">
        <v>14</v>
      </c>
      <c r="S61">
        <v>15</v>
      </c>
      <c r="T61">
        <v>16</v>
      </c>
      <c r="U61">
        <v>17</v>
      </c>
    </row>
    <row r="62" spans="1:21" ht="14.4" x14ac:dyDescent="0.3">
      <c r="A62" s="26" t="s">
        <v>65</v>
      </c>
      <c r="B62" s="54"/>
      <c r="C62" s="216" t="s">
        <v>1</v>
      </c>
      <c r="D62" s="296">
        <v>0.1</v>
      </c>
      <c r="E62" s="296">
        <v>0.5</v>
      </c>
      <c r="F62" s="296">
        <v>1</v>
      </c>
      <c r="G62" s="296">
        <v>2</v>
      </c>
      <c r="H62" s="296">
        <v>3</v>
      </c>
      <c r="I62" s="296">
        <v>4</v>
      </c>
      <c r="J62" s="296">
        <v>5</v>
      </c>
      <c r="K62" s="296">
        <v>6</v>
      </c>
      <c r="L62" s="296">
        <v>7</v>
      </c>
      <c r="M62" s="296">
        <v>8</v>
      </c>
      <c r="N62" s="296">
        <v>10</v>
      </c>
      <c r="O62" s="296">
        <v>12</v>
      </c>
      <c r="P62" s="296">
        <v>14</v>
      </c>
      <c r="Q62" s="296">
        <v>18</v>
      </c>
      <c r="R62" s="296">
        <v>21</v>
      </c>
      <c r="S62" s="296">
        <v>100</v>
      </c>
      <c r="T62" s="296">
        <v>1000</v>
      </c>
      <c r="U62" s="296">
        <v>10000</v>
      </c>
    </row>
    <row r="63" spans="1:21" ht="14.4" x14ac:dyDescent="0.3">
      <c r="A63" s="31"/>
      <c r="C63" s="1" t="s">
        <v>64</v>
      </c>
      <c r="D63">
        <v>0</v>
      </c>
      <c r="E63">
        <v>1</v>
      </c>
      <c r="F63">
        <v>2</v>
      </c>
      <c r="G63">
        <v>3</v>
      </c>
      <c r="H63">
        <v>4</v>
      </c>
      <c r="I63">
        <v>5</v>
      </c>
      <c r="J63">
        <v>6</v>
      </c>
      <c r="K63">
        <v>7</v>
      </c>
      <c r="L63">
        <v>8</v>
      </c>
      <c r="M63">
        <v>9</v>
      </c>
      <c r="N63">
        <v>10</v>
      </c>
      <c r="O63">
        <v>11</v>
      </c>
      <c r="P63">
        <v>12</v>
      </c>
      <c r="Q63">
        <v>13</v>
      </c>
      <c r="R63">
        <v>14</v>
      </c>
      <c r="S63">
        <v>15</v>
      </c>
      <c r="T63">
        <v>16</v>
      </c>
      <c r="U63">
        <v>17</v>
      </c>
    </row>
    <row r="64" spans="1:21" ht="14.4" x14ac:dyDescent="0.3">
      <c r="A64" s="43">
        <v>2</v>
      </c>
      <c r="B64" s="43"/>
      <c r="C64" s="1"/>
      <c r="D64" s="298">
        <v>1.7291324964220301E-2</v>
      </c>
      <c r="E64" s="298">
        <v>6.6998018440489568E-2</v>
      </c>
      <c r="F64" s="298">
        <v>0.12416560747379798</v>
      </c>
      <c r="G64" s="298">
        <v>0.19164678959143519</v>
      </c>
      <c r="H64" s="298">
        <v>3.2432337711389723E-2</v>
      </c>
      <c r="I64" s="298">
        <v>2.6794917304969575E-2</v>
      </c>
      <c r="J64" s="298">
        <v>1.0787351058726545E-2</v>
      </c>
      <c r="K64" s="298">
        <v>1.5488830696511377E-2</v>
      </c>
      <c r="L64" s="298">
        <v>1.1120918013740941E-2</v>
      </c>
      <c r="M64" s="298">
        <v>1.2571907703050382E-2</v>
      </c>
      <c r="N64" s="298">
        <v>2.636287592484499E-2</v>
      </c>
      <c r="O64" s="298">
        <v>3.9068771982494086E-3</v>
      </c>
      <c r="P64" s="298">
        <v>1.783236037225493E-2</v>
      </c>
      <c r="Q64" s="298">
        <v>6.5715038062707058E-3</v>
      </c>
      <c r="R64" s="298">
        <v>5.7146036546192576E-3</v>
      </c>
      <c r="S64" s="298">
        <v>5.7146036546192576E-3</v>
      </c>
      <c r="T64" s="298">
        <v>5.7146036546192576E-3</v>
      </c>
      <c r="U64" s="298">
        <v>5.7146036546192576E-3</v>
      </c>
    </row>
    <row r="65" spans="1:21" ht="14.4" x14ac:dyDescent="0.3">
      <c r="A65" s="43">
        <v>3</v>
      </c>
      <c r="B65" s="43"/>
      <c r="C65" s="1"/>
      <c r="D65" s="298">
        <v>0.55385104430828935</v>
      </c>
      <c r="E65" s="298">
        <v>8.5473774716319078</v>
      </c>
      <c r="F65" s="298">
        <v>4.3857615521600959</v>
      </c>
      <c r="G65" s="298">
        <v>4.8916763402676038</v>
      </c>
      <c r="H65" s="298">
        <v>5.107248510230364</v>
      </c>
      <c r="I65" s="298">
        <v>6.2072885442798249</v>
      </c>
      <c r="J65" s="298">
        <v>7.7608557639223745</v>
      </c>
      <c r="K65" s="298">
        <v>5.1365577880102951</v>
      </c>
      <c r="L65" s="298">
        <v>3.7115343236794409</v>
      </c>
      <c r="M65" s="298">
        <v>2.8652501742303245</v>
      </c>
      <c r="N65" s="298">
        <v>1.976424393859703</v>
      </c>
      <c r="O65" s="298">
        <v>1.512989131711088</v>
      </c>
      <c r="P65" s="298">
        <v>1.2479844012146544</v>
      </c>
      <c r="Q65" s="298">
        <v>0.90186138282906037</v>
      </c>
      <c r="R65" s="298">
        <v>0.8611207071065603</v>
      </c>
      <c r="S65" s="298">
        <v>0.8611207071065603</v>
      </c>
      <c r="T65" s="298">
        <v>0.8611207071065603</v>
      </c>
      <c r="U65" s="298">
        <v>0.8611207071065603</v>
      </c>
    </row>
    <row r="66" spans="1:21" ht="14.4" x14ac:dyDescent="0.3">
      <c r="A66" s="43">
        <v>4</v>
      </c>
      <c r="B66" s="43"/>
      <c r="C66" s="1"/>
      <c r="D66" s="298">
        <v>0.13520250276733159</v>
      </c>
      <c r="E66" s="298">
        <v>2.8695360144102396E-2</v>
      </c>
      <c r="F66" s="298">
        <v>0.11237654569855723</v>
      </c>
      <c r="G66" s="298">
        <v>0.1270693443534559</v>
      </c>
      <c r="H66" s="298">
        <v>2.9673650735424224E-2</v>
      </c>
      <c r="I66" s="298">
        <v>2.1212221057019379E-2</v>
      </c>
      <c r="J66" s="298">
        <v>1.8916758051922035E-2</v>
      </c>
      <c r="K66" s="298">
        <v>2.4591818946340816E-2</v>
      </c>
      <c r="L66" s="298">
        <v>2.2309871990685983E-2</v>
      </c>
      <c r="M66" s="298">
        <v>1.4672119245636975E-2</v>
      </c>
      <c r="N66" s="298">
        <v>3.4977738354405041E-3</v>
      </c>
      <c r="O66" s="298">
        <v>3.318391374383355E-3</v>
      </c>
      <c r="P66" s="298">
        <v>1.8380050856337499E-2</v>
      </c>
      <c r="Q66" s="298">
        <v>5.7240454854559945E-3</v>
      </c>
      <c r="R66" s="298">
        <v>1.5847873572736098E-3</v>
      </c>
      <c r="S66" s="298">
        <v>1.5847873572736098E-3</v>
      </c>
      <c r="T66" s="298">
        <v>1.5847873572736098E-3</v>
      </c>
      <c r="U66" s="298">
        <v>1.5847873572736098E-3</v>
      </c>
    </row>
    <row r="67" spans="1:21" ht="14.4" x14ac:dyDescent="0.3">
      <c r="A67" s="43">
        <v>5</v>
      </c>
      <c r="B67" s="43"/>
      <c r="C67" s="1"/>
      <c r="D67" s="298">
        <v>93.368748010282204</v>
      </c>
      <c r="E67" s="298">
        <v>82.87682728374898</v>
      </c>
      <c r="F67" s="298">
        <v>73.247221838386295</v>
      </c>
      <c r="G67" s="298">
        <v>60.831459052554194</v>
      </c>
      <c r="H67" s="298">
        <v>49.382828970020235</v>
      </c>
      <c r="I67" s="298">
        <v>41.72752692184784</v>
      </c>
      <c r="J67" s="298">
        <v>37.27946499417164</v>
      </c>
      <c r="K67" s="298">
        <v>34.240442443062605</v>
      </c>
      <c r="L67" s="298">
        <v>31.801834469310585</v>
      </c>
      <c r="M67" s="298">
        <v>29.833911528390878</v>
      </c>
      <c r="N67" s="298">
        <v>26.829447444032468</v>
      </c>
      <c r="O67" s="298">
        <v>24.524377947577921</v>
      </c>
      <c r="P67" s="298">
        <v>22.666145948519805</v>
      </c>
      <c r="Q67" s="298">
        <v>19.683481307529799</v>
      </c>
      <c r="R67" s="298">
        <v>19.55420880107971</v>
      </c>
      <c r="S67" s="298">
        <v>19.55420880107971</v>
      </c>
      <c r="T67" s="298">
        <v>19.55420880107971</v>
      </c>
      <c r="U67" s="298">
        <v>19.55420880107971</v>
      </c>
    </row>
    <row r="68" spans="1:21" ht="14.4" x14ac:dyDescent="0.3">
      <c r="A68" s="43">
        <v>6</v>
      </c>
      <c r="B68" s="43"/>
      <c r="C68" s="1"/>
      <c r="D68" s="298">
        <v>6.8818496078623531E-2</v>
      </c>
      <c r="E68" s="298">
        <v>5.2936191485114158E-2</v>
      </c>
      <c r="F68" s="298">
        <v>7.0102641631974985E-3</v>
      </c>
      <c r="G68" s="298">
        <v>1.1862351899176933E-2</v>
      </c>
      <c r="H68" s="298">
        <v>1.9222702695116914E-3</v>
      </c>
      <c r="I68" s="298">
        <v>1.1087146410300954E-2</v>
      </c>
      <c r="J68" s="298">
        <v>6.7285132893848583E-3</v>
      </c>
      <c r="K68" s="298">
        <v>4.5194792975590103E-3</v>
      </c>
      <c r="L68" s="298">
        <v>6.0169639857389576E-3</v>
      </c>
      <c r="M68" s="298">
        <v>7.3330327729595772E-3</v>
      </c>
      <c r="N68" s="298">
        <v>4.9368015428742544E-3</v>
      </c>
      <c r="O68" s="298">
        <v>2.1005572354824645E-3</v>
      </c>
      <c r="P68" s="298">
        <v>9.2816222816082712E-3</v>
      </c>
      <c r="Q68" s="298">
        <v>3.8021989595571734E-3</v>
      </c>
      <c r="R68" s="298">
        <v>2.6949365909897677E-3</v>
      </c>
      <c r="S68" s="298">
        <v>2.6949365909897677E-3</v>
      </c>
      <c r="T68" s="298">
        <v>2.6949365909897677E-3</v>
      </c>
      <c r="U68" s="298">
        <v>2.6949365909897677E-3</v>
      </c>
    </row>
    <row r="69" spans="1:21" ht="14.4" x14ac:dyDescent="0.3">
      <c r="A69" s="43">
        <v>7</v>
      </c>
      <c r="B69" s="43"/>
      <c r="C69" s="1"/>
      <c r="D69" s="298">
        <v>85.792929223620419</v>
      </c>
      <c r="E69" s="298">
        <v>65.67536665068971</v>
      </c>
      <c r="F69" s="298">
        <v>52.471101352240538</v>
      </c>
      <c r="G69" s="298">
        <v>34.473926081721721</v>
      </c>
      <c r="H69" s="298">
        <v>20.70483242585701</v>
      </c>
      <c r="I69" s="298">
        <v>13.8859457017344</v>
      </c>
      <c r="J69" s="298">
        <v>10.407370469722119</v>
      </c>
      <c r="K69" s="298">
        <v>8.4234250472584673</v>
      </c>
      <c r="L69" s="298">
        <v>7.3447486655802345</v>
      </c>
      <c r="M69" s="298">
        <v>6.8022663683683335</v>
      </c>
      <c r="N69" s="298">
        <v>6.5166708279323533</v>
      </c>
      <c r="O69" s="298">
        <v>6.6273860488121423</v>
      </c>
      <c r="P69" s="298">
        <v>6.8022403042729351</v>
      </c>
      <c r="Q69" s="298">
        <v>6.987229811341364</v>
      </c>
      <c r="R69" s="298">
        <v>7.326010337515557</v>
      </c>
      <c r="S69" s="298">
        <v>7.326010337515557</v>
      </c>
      <c r="T69" s="298">
        <v>7.326010337515557</v>
      </c>
      <c r="U69" s="298">
        <v>7.326010337515557</v>
      </c>
    </row>
    <row r="70" spans="1:21" ht="14.4" x14ac:dyDescent="0.3">
      <c r="A70" s="43">
        <v>8</v>
      </c>
      <c r="B70" s="43"/>
      <c r="C70" s="1"/>
      <c r="D70" s="298">
        <v>0.15207091572872264</v>
      </c>
      <c r="E70" s="298">
        <v>5.2891824469196221E-2</v>
      </c>
      <c r="F70" s="298">
        <v>5.7040082585237739E-2</v>
      </c>
      <c r="G70" s="298">
        <v>1.9116049168177565E-2</v>
      </c>
      <c r="H70" s="298">
        <v>2.3564987660073828E-2</v>
      </c>
      <c r="I70" s="298">
        <v>8.5355102461392024E-3</v>
      </c>
      <c r="J70" s="298">
        <v>1.9603945043945102E-2</v>
      </c>
      <c r="K70" s="298">
        <v>1.2636657164619786E-2</v>
      </c>
      <c r="L70" s="298">
        <v>1.0643351525778579E-2</v>
      </c>
      <c r="M70" s="298">
        <v>4.3473848598230228E-3</v>
      </c>
      <c r="N70" s="298">
        <v>2.5415807506222721E-3</v>
      </c>
      <c r="O70" s="298">
        <v>1.2216655309818655E-3</v>
      </c>
      <c r="P70" s="298">
        <v>6.4595461603830819E-3</v>
      </c>
      <c r="Q70" s="298">
        <v>1.3983813924981661E-3</v>
      </c>
      <c r="R70" s="298">
        <v>3.4056178014729927E-3</v>
      </c>
      <c r="S70" s="298">
        <v>3.4056178014729927E-3</v>
      </c>
      <c r="T70" s="298">
        <v>3.4056178014729927E-3</v>
      </c>
      <c r="U70" s="298">
        <v>3.4056178014729927E-3</v>
      </c>
    </row>
    <row r="71" spans="1:21" ht="14.4" x14ac:dyDescent="0.3">
      <c r="A71" s="43">
        <v>9</v>
      </c>
      <c r="B71" s="43"/>
      <c r="C71" s="1"/>
      <c r="D71" s="298">
        <v>1.154353524821659</v>
      </c>
      <c r="E71" s="298">
        <v>3.5914593530271834</v>
      </c>
      <c r="F71" s="298">
        <v>0.66156600737101889</v>
      </c>
      <c r="G71" s="298">
        <v>0.60368769264829547</v>
      </c>
      <c r="H71" s="298">
        <v>0.42447764331950832</v>
      </c>
      <c r="I71" s="298">
        <v>1.0648962156533353</v>
      </c>
      <c r="J71" s="298">
        <v>1.5532650518305111</v>
      </c>
      <c r="K71" s="298">
        <v>0.98716445545758624</v>
      </c>
      <c r="L71" s="298">
        <v>0.68104076968532634</v>
      </c>
      <c r="M71" s="298">
        <v>0.50610374236669098</v>
      </c>
      <c r="N71" s="298">
        <v>0.31868142208094846</v>
      </c>
      <c r="O71" s="298">
        <v>0.22626624756676589</v>
      </c>
      <c r="P71" s="298">
        <v>0.1789795622711387</v>
      </c>
      <c r="Q71" s="298">
        <v>0.13966052871548112</v>
      </c>
      <c r="R71" s="298">
        <v>0.13247290047204982</v>
      </c>
      <c r="S71" s="298">
        <v>0.13247290047204982</v>
      </c>
      <c r="T71" s="298">
        <v>0.13247290047204982</v>
      </c>
      <c r="U71" s="298">
        <v>0.13247290047204982</v>
      </c>
    </row>
    <row r="72" spans="1:21" ht="14.4" x14ac:dyDescent="0.3">
      <c r="A72" s="43">
        <v>10</v>
      </c>
      <c r="B72" s="43"/>
      <c r="C72" s="1"/>
      <c r="D72" s="298">
        <v>0.2294007148283545</v>
      </c>
      <c r="E72" s="298">
        <v>4.67408371331944E-2</v>
      </c>
      <c r="F72" s="298">
        <v>3.9171017790739594E-2</v>
      </c>
      <c r="G72" s="298">
        <v>3.1896110289054799E-2</v>
      </c>
      <c r="H72" s="298">
        <v>9.7072760067846587E-3</v>
      </c>
      <c r="I72" s="298">
        <v>1.3760275349404955E-2</v>
      </c>
      <c r="J72" s="298">
        <v>1.2351163020258928E-2</v>
      </c>
      <c r="K72" s="298">
        <v>7.8770677291336265E-3</v>
      </c>
      <c r="L72" s="298">
        <v>6.6241460677741474E-3</v>
      </c>
      <c r="M72" s="298">
        <v>9.5446111698385379E-4</v>
      </c>
      <c r="N72" s="298">
        <v>5.9000829249238182E-3</v>
      </c>
      <c r="O72" s="298">
        <v>2.8410236973985879E-3</v>
      </c>
      <c r="P72" s="298">
        <v>3.0933034144878684E-3</v>
      </c>
      <c r="Q72" s="298">
        <v>1.7024651539385351E-3</v>
      </c>
      <c r="R72" s="298">
        <v>3.8405411483555876E-3</v>
      </c>
      <c r="S72" s="298">
        <v>3.8405411483555876E-3</v>
      </c>
      <c r="T72" s="298">
        <v>3.8405411483555876E-3</v>
      </c>
      <c r="U72" s="298">
        <v>3.8405411483555876E-3</v>
      </c>
    </row>
    <row r="73" spans="1:21" ht="14.4" x14ac:dyDescent="0.3">
      <c r="A73" s="43">
        <v>11</v>
      </c>
      <c r="B73" s="43"/>
      <c r="C73" s="1"/>
      <c r="D73" s="298">
        <v>69.048567707776243</v>
      </c>
      <c r="E73" s="298">
        <v>33.685348584817774</v>
      </c>
      <c r="F73" s="298">
        <v>15.583787301158949</v>
      </c>
      <c r="G73" s="298">
        <v>6.5636008603412694</v>
      </c>
      <c r="H73" s="298">
        <v>7.6797975872700235</v>
      </c>
      <c r="I73" s="298">
        <v>7.4570840283088478</v>
      </c>
      <c r="J73" s="298">
        <v>6.9055670232180777</v>
      </c>
      <c r="K73" s="298">
        <v>6.5341193000171698</v>
      </c>
      <c r="L73" s="298">
        <v>6.0786150094839924</v>
      </c>
      <c r="M73" s="298">
        <v>5.6151234987755405</v>
      </c>
      <c r="N73" s="298">
        <v>4.7731220793376856</v>
      </c>
      <c r="O73" s="298">
        <v>4.037747204995374</v>
      </c>
      <c r="P73" s="298">
        <v>3.4442053406397228</v>
      </c>
      <c r="Q73" s="298">
        <v>2.6571079286057731</v>
      </c>
      <c r="R73" s="298">
        <v>2.6319335627413896</v>
      </c>
      <c r="S73" s="298">
        <v>2.6319335627413896</v>
      </c>
      <c r="T73" s="298">
        <v>2.6319335627413896</v>
      </c>
      <c r="U73" s="298">
        <v>2.6319335627413896</v>
      </c>
    </row>
    <row r="74" spans="1:21" ht="14.4" x14ac:dyDescent="0.3">
      <c r="A74" s="43">
        <v>12</v>
      </c>
      <c r="B74" s="43"/>
      <c r="C74" s="1"/>
      <c r="D74" s="298">
        <v>4.3926126021925166E-2</v>
      </c>
      <c r="E74" s="298">
        <v>1.2877494467594758E-2</v>
      </c>
      <c r="F74" s="298">
        <v>4.5954157397374695E-3</v>
      </c>
      <c r="G74" s="298">
        <v>5.329225146697902E-3</v>
      </c>
      <c r="H74" s="298">
        <v>1.7455825337836627E-3</v>
      </c>
      <c r="I74" s="298">
        <v>6.1922252654432195E-3</v>
      </c>
      <c r="J74" s="298">
        <v>4.6340307760456886E-3</v>
      </c>
      <c r="K74" s="298">
        <v>1.2658928420938899E-3</v>
      </c>
      <c r="L74" s="298">
        <v>7.2345470714335765E-4</v>
      </c>
      <c r="M74" s="298">
        <v>2.8137542278655172E-3</v>
      </c>
      <c r="N74" s="298">
        <v>3.3387817150023614E-3</v>
      </c>
      <c r="O74" s="298">
        <v>7.0415228820549169E-4</v>
      </c>
      <c r="P74" s="298">
        <v>3.2866827675993235E-3</v>
      </c>
      <c r="Q74" s="298">
        <v>2.129932191298423E-3</v>
      </c>
      <c r="R74" s="298">
        <v>3.0726078205235829E-3</v>
      </c>
      <c r="S74" s="298">
        <v>3.0726078205235829E-3</v>
      </c>
      <c r="T74" s="298">
        <v>3.0726078205235829E-3</v>
      </c>
      <c r="U74" s="298">
        <v>3.0726078205235829E-3</v>
      </c>
    </row>
    <row r="75" spans="1:21" ht="14.4" x14ac:dyDescent="0.3">
      <c r="A75" s="43">
        <v>13</v>
      </c>
      <c r="B75" s="43"/>
      <c r="C75" s="1"/>
      <c r="D75" s="298">
        <v>57.626071680473594</v>
      </c>
      <c r="E75" s="298">
        <v>19.008833408591933</v>
      </c>
      <c r="F75" s="298">
        <v>6.0811074483745449</v>
      </c>
      <c r="G75" s="298">
        <v>6.4203508662030933</v>
      </c>
      <c r="H75" s="298">
        <v>4.053836065316168</v>
      </c>
      <c r="I75" s="298">
        <v>3.136813925533426</v>
      </c>
      <c r="J75" s="298">
        <v>3.2687886565984781</v>
      </c>
      <c r="K75" s="298">
        <v>3.1927019928471165</v>
      </c>
      <c r="L75" s="298">
        <v>3.1590323561450395</v>
      </c>
      <c r="M75" s="298">
        <v>3.1114405010378423</v>
      </c>
      <c r="N75" s="298">
        <v>2.9413990501469054</v>
      </c>
      <c r="O75" s="298">
        <v>2.6891381919916104</v>
      </c>
      <c r="P75" s="298">
        <v>2.4129113867682368</v>
      </c>
      <c r="Q75" s="298">
        <v>1.9019132140355048</v>
      </c>
      <c r="R75" s="298">
        <v>1.9731316672454773</v>
      </c>
      <c r="S75" s="298">
        <v>1.9731316672454773</v>
      </c>
      <c r="T75" s="298">
        <v>1.9731316672454773</v>
      </c>
      <c r="U75" s="298">
        <v>1.9731316672454773</v>
      </c>
    </row>
    <row r="76" spans="1:21" ht="14.4" x14ac:dyDescent="0.3">
      <c r="A76" s="43">
        <v>14</v>
      </c>
      <c r="B76" s="43"/>
      <c r="C76" s="1"/>
      <c r="D76" s="298">
        <v>0.20927403927484672</v>
      </c>
      <c r="E76" s="298">
        <v>5.5602611265487843E-2</v>
      </c>
      <c r="F76" s="298">
        <v>4.0150680983375708E-2</v>
      </c>
      <c r="G76" s="298">
        <v>1.1364022598705132E-2</v>
      </c>
      <c r="H76" s="298">
        <v>1.5808693433503308E-2</v>
      </c>
      <c r="I76" s="298">
        <v>1.1300571663228018E-2</v>
      </c>
      <c r="J76" s="298">
        <v>1.3986444352451872E-2</v>
      </c>
      <c r="K76" s="298">
        <v>1.3726550136797936E-2</v>
      </c>
      <c r="L76" s="298">
        <v>1.2922710779955417E-2</v>
      </c>
      <c r="M76" s="298">
        <v>6.7573395777536377E-3</v>
      </c>
      <c r="N76" s="298">
        <v>6.0541163970223889E-3</v>
      </c>
      <c r="O76" s="298">
        <v>8.8566143641728831E-4</v>
      </c>
      <c r="P76" s="298">
        <v>4.5856434142929501E-3</v>
      </c>
      <c r="Q76" s="298">
        <v>2.3769049086772155E-3</v>
      </c>
      <c r="R76" s="298">
        <v>2.1687917940923906E-3</v>
      </c>
      <c r="S76" s="298">
        <v>2.1687917940923906E-3</v>
      </c>
      <c r="T76" s="298">
        <v>2.1687917940923906E-3</v>
      </c>
      <c r="U76" s="298">
        <v>2.1687917940923906E-3</v>
      </c>
    </row>
    <row r="77" spans="1:21" ht="14.4" x14ac:dyDescent="0.3">
      <c r="A77" s="43">
        <v>15</v>
      </c>
      <c r="B77" s="43"/>
      <c r="C77" s="1"/>
      <c r="D77" s="298">
        <v>1.136851568371505</v>
      </c>
      <c r="E77" s="298">
        <v>0.23095610968918576</v>
      </c>
      <c r="F77" s="298">
        <v>0.45935010470309795</v>
      </c>
      <c r="G77" s="298">
        <v>0.33979479464125767</v>
      </c>
      <c r="H77" s="298">
        <v>0.19877874639876153</v>
      </c>
      <c r="I77" s="298">
        <v>0.6117370588990978</v>
      </c>
      <c r="J77" s="298">
        <v>0.7739736036483279</v>
      </c>
      <c r="K77" s="298">
        <v>0.47689818111624066</v>
      </c>
      <c r="L77" s="298">
        <v>0.32445444976062632</v>
      </c>
      <c r="M77" s="298">
        <v>0.24590737646040681</v>
      </c>
      <c r="N77" s="298">
        <v>0.17863761703347875</v>
      </c>
      <c r="O77" s="298">
        <v>0.15238590146764369</v>
      </c>
      <c r="P77" s="298">
        <v>0.13879587874692803</v>
      </c>
      <c r="Q77" s="298">
        <v>0.10849930149243135</v>
      </c>
      <c r="R77" s="298">
        <v>0.10438708261063094</v>
      </c>
      <c r="S77" s="298">
        <v>0.10438708261063094</v>
      </c>
      <c r="T77" s="298">
        <v>0.10438708261063094</v>
      </c>
      <c r="U77" s="298">
        <v>0.10438708261063094</v>
      </c>
    </row>
    <row r="78" spans="1:21" ht="14.4" x14ac:dyDescent="0.3">
      <c r="A78" s="43">
        <v>16</v>
      </c>
      <c r="B78" s="43"/>
      <c r="C78" s="1"/>
      <c r="D78" s="298">
        <v>0.21260480542905863</v>
      </c>
      <c r="E78" s="298">
        <v>5.5251059810874539E-2</v>
      </c>
      <c r="F78" s="298">
        <v>2.9549060045343564E-2</v>
      </c>
      <c r="G78" s="298">
        <v>1.9149260351853523E-2</v>
      </c>
      <c r="H78" s="298">
        <v>8.8894084206710914E-3</v>
      </c>
      <c r="I78" s="298">
        <v>9.8004503653837914E-3</v>
      </c>
      <c r="J78" s="298">
        <v>9.3355107602731344E-3</v>
      </c>
      <c r="K78" s="298">
        <v>1.1176506405604431E-2</v>
      </c>
      <c r="L78" s="298">
        <v>1.0797812516310075E-2</v>
      </c>
      <c r="M78" s="298">
        <v>4.9258459762198314E-3</v>
      </c>
      <c r="N78" s="298">
        <v>1.5412362332936629E-3</v>
      </c>
      <c r="O78" s="298">
        <v>1.7707278526791228E-3</v>
      </c>
      <c r="P78" s="298">
        <v>3.8905467511792919E-3</v>
      </c>
      <c r="Q78" s="298">
        <v>3.1270051788819786E-3</v>
      </c>
      <c r="R78" s="298">
        <v>2.7546885466757905E-3</v>
      </c>
      <c r="S78" s="298">
        <v>2.7546885466757905E-3</v>
      </c>
      <c r="T78" s="298">
        <v>2.7546885466757905E-3</v>
      </c>
      <c r="U78" s="298">
        <v>2.7546885466757905E-3</v>
      </c>
    </row>
    <row r="79" spans="1:21" ht="14.4" x14ac:dyDescent="0.3">
      <c r="A79" s="43">
        <v>17</v>
      </c>
      <c r="B79" s="43"/>
      <c r="C79" s="1"/>
      <c r="D79" s="299">
        <v>38.305868434141544</v>
      </c>
      <c r="E79" s="298">
        <v>5.2999903687276673</v>
      </c>
      <c r="F79" s="298">
        <v>6.2578007441416821</v>
      </c>
      <c r="G79" s="299">
        <v>3.651615692351549</v>
      </c>
      <c r="H79" s="299">
        <v>3.9361368606820331</v>
      </c>
      <c r="I79" s="299">
        <v>3.5365888642625669</v>
      </c>
      <c r="J79" s="298">
        <v>2.7954962272937816</v>
      </c>
      <c r="K79" s="298">
        <v>2.4617473384512585</v>
      </c>
      <c r="L79" s="298">
        <v>2.1281057585635259</v>
      </c>
      <c r="M79" s="298">
        <v>1.850567348179557</v>
      </c>
      <c r="N79" s="299">
        <v>1.5324828885585096</v>
      </c>
      <c r="O79" s="298">
        <v>1.4251739565426205</v>
      </c>
      <c r="P79" s="298">
        <v>1.4117622874341469</v>
      </c>
      <c r="Q79" s="298">
        <v>1.3485789449567889</v>
      </c>
      <c r="R79" s="298">
        <v>1.3516864824509252</v>
      </c>
      <c r="S79" s="298">
        <v>1.3516864824509252</v>
      </c>
      <c r="T79" s="298">
        <v>1.3516864824509252</v>
      </c>
      <c r="U79" s="298">
        <v>1.3516864824509252</v>
      </c>
    </row>
    <row r="80" spans="1:21" ht="14.4" x14ac:dyDescent="0.3">
      <c r="A80" s="43">
        <v>18</v>
      </c>
      <c r="B80" s="43"/>
      <c r="C80" s="1"/>
      <c r="D80" s="298">
        <v>6.8073317161051342E-3</v>
      </c>
      <c r="E80" s="298">
        <v>4.4855023970696963E-3</v>
      </c>
      <c r="F80" s="298">
        <v>3.7080452251308581E-3</v>
      </c>
      <c r="G80" s="298">
        <v>4.1891794258732719E-3</v>
      </c>
      <c r="H80" s="298">
        <v>2.5800652861531514E-3</v>
      </c>
      <c r="I80" s="298">
        <v>5.1323452366736095E-3</v>
      </c>
      <c r="J80" s="298">
        <v>3.2624660891922676E-3</v>
      </c>
      <c r="K80" s="298">
        <v>9.7248963017647263E-4</v>
      </c>
      <c r="L80" s="298">
        <v>5.3824967182370125E-4</v>
      </c>
      <c r="M80" s="298">
        <v>3.4207800467921257E-3</v>
      </c>
      <c r="N80" s="298">
        <v>2.3022193218101682E-3</v>
      </c>
      <c r="O80" s="298">
        <v>7.1766985210155283E-4</v>
      </c>
      <c r="P80" s="298">
        <v>1.6747979107749516E-3</v>
      </c>
      <c r="Q80" s="298">
        <v>1.0243399597807483E-3</v>
      </c>
      <c r="R80" s="298">
        <v>2.7645882744071495E-3</v>
      </c>
      <c r="S80" s="298">
        <v>2.7645882744071495E-3</v>
      </c>
      <c r="T80" s="298">
        <v>2.7645882744071495E-3</v>
      </c>
      <c r="U80" s="298">
        <v>2.7645882744071495E-3</v>
      </c>
    </row>
    <row r="81" spans="1:21" ht="14.4" x14ac:dyDescent="0.3">
      <c r="A81" s="43">
        <v>19</v>
      </c>
      <c r="B81" s="43"/>
      <c r="C81" s="1"/>
      <c r="D81" s="298">
        <v>28.12675018493254</v>
      </c>
      <c r="E81" s="298">
        <v>5.7694235730205383</v>
      </c>
      <c r="F81" s="298">
        <v>4.4923444139523241</v>
      </c>
      <c r="G81" s="298">
        <v>2.461818140179882</v>
      </c>
      <c r="H81" s="298">
        <v>1.5612033953483941</v>
      </c>
      <c r="I81" s="298">
        <v>1.435344927819425</v>
      </c>
      <c r="J81" s="298">
        <v>1.8152549557696753</v>
      </c>
      <c r="K81" s="298">
        <v>1.7533389509717254</v>
      </c>
      <c r="L81" s="298">
        <v>1.6441205577377018</v>
      </c>
      <c r="M81" s="298">
        <v>1.5015094716885002</v>
      </c>
      <c r="N81" s="298">
        <v>1.1978760529333901</v>
      </c>
      <c r="O81" s="298">
        <v>0.96493434637770215</v>
      </c>
      <c r="P81" s="298">
        <v>0.86230538911097832</v>
      </c>
      <c r="Q81" s="298">
        <v>0.87143134542122158</v>
      </c>
      <c r="R81" s="298">
        <v>0.89423887387252965</v>
      </c>
      <c r="S81" s="298">
        <v>0.89423887387252965</v>
      </c>
      <c r="T81" s="298">
        <v>0.89423887387252965</v>
      </c>
      <c r="U81" s="298">
        <v>0.89423887387252965</v>
      </c>
    </row>
    <row r="82" spans="1:21" ht="14.4" x14ac:dyDescent="0.3">
      <c r="A82" s="43">
        <v>20</v>
      </c>
      <c r="B82" s="43"/>
      <c r="C82" s="1"/>
      <c r="D82" s="298">
        <v>0.16228025606892954</v>
      </c>
      <c r="E82" s="298">
        <v>3.4304595434386999E-2</v>
      </c>
      <c r="F82" s="298">
        <v>3.603503131369204E-2</v>
      </c>
      <c r="G82" s="298">
        <v>1.3414457398225953E-2</v>
      </c>
      <c r="H82" s="298">
        <v>1.3820648138552563E-2</v>
      </c>
      <c r="I82" s="298">
        <v>1.2553645285502412E-2</v>
      </c>
      <c r="J82" s="298">
        <v>1.1519216055600136E-2</v>
      </c>
      <c r="K82" s="298">
        <v>1.2482583619361326E-2</v>
      </c>
      <c r="L82" s="298">
        <v>1.0659586926913772E-2</v>
      </c>
      <c r="M82" s="298">
        <v>3.9990621565117561E-3</v>
      </c>
      <c r="N82" s="298">
        <v>4.289924599988241E-3</v>
      </c>
      <c r="O82" s="298">
        <v>2.3631359410929234E-3</v>
      </c>
      <c r="P82" s="298">
        <v>2.0372139828744758E-3</v>
      </c>
      <c r="Q82" s="298">
        <v>2.6099379219788315E-3</v>
      </c>
      <c r="R82" s="298">
        <v>3.3164014470484933E-3</v>
      </c>
      <c r="S82" s="298">
        <v>3.3164014470484933E-3</v>
      </c>
      <c r="T82" s="298">
        <v>3.3164014470484933E-3</v>
      </c>
      <c r="U82" s="298">
        <v>3.3164014470484933E-3</v>
      </c>
    </row>
    <row r="83" spans="1:21" ht="14.4" x14ac:dyDescent="0.3">
      <c r="A83" s="43">
        <v>21</v>
      </c>
      <c r="B83" s="43"/>
      <c r="C83" s="1"/>
      <c r="D83" s="298">
        <v>0.62329316321319206</v>
      </c>
      <c r="E83" s="298">
        <v>0.38652912360520963</v>
      </c>
      <c r="F83" s="298">
        <v>0.28848587809075404</v>
      </c>
      <c r="G83" s="298">
        <v>0.2327624797312611</v>
      </c>
      <c r="H83" s="298">
        <v>0.12695962714013889</v>
      </c>
      <c r="I83" s="298">
        <v>0.43156831387325317</v>
      </c>
      <c r="J83" s="298">
        <v>0.51232861946084751</v>
      </c>
      <c r="K83" s="298">
        <v>0.33639919482821595</v>
      </c>
      <c r="L83" s="298">
        <v>0.24976274080004948</v>
      </c>
      <c r="M83" s="298">
        <v>0.20143664947276263</v>
      </c>
      <c r="N83" s="298">
        <v>0.14886071320433725</v>
      </c>
      <c r="O83" s="298">
        <v>0.11057082122039739</v>
      </c>
      <c r="P83" s="298">
        <v>8.69095877563483E-2</v>
      </c>
      <c r="Q83" s="298">
        <v>6.469840401868561E-2</v>
      </c>
      <c r="R83" s="298">
        <v>6.207334554446476E-2</v>
      </c>
      <c r="S83" s="298">
        <v>6.207334554446476E-2</v>
      </c>
      <c r="T83" s="298">
        <v>6.207334554446476E-2</v>
      </c>
      <c r="U83" s="298">
        <v>6.207334554446476E-2</v>
      </c>
    </row>
    <row r="84" spans="1:21" ht="14.4" x14ac:dyDescent="0.3">
      <c r="A84" s="43">
        <v>22</v>
      </c>
      <c r="B84" s="43"/>
      <c r="C84" s="1"/>
      <c r="D84" s="298">
        <v>0.10196628651957353</v>
      </c>
      <c r="E84" s="298">
        <v>3.8702088424270906E-2</v>
      </c>
      <c r="F84" s="298">
        <v>3.2940823141321553E-2</v>
      </c>
      <c r="G84" s="298">
        <v>1.4397088226243407E-2</v>
      </c>
      <c r="H84" s="298">
        <v>8.0433131135157904E-3</v>
      </c>
      <c r="I84" s="298">
        <v>9.1411482785596215E-3</v>
      </c>
      <c r="J84" s="298">
        <v>1.3328297513609087E-2</v>
      </c>
      <c r="K84" s="298">
        <v>9.9334339431091864E-3</v>
      </c>
      <c r="L84" s="298">
        <v>8.7776949548354632E-3</v>
      </c>
      <c r="M84" s="298">
        <v>2.8422690440152187E-3</v>
      </c>
      <c r="N84" s="298">
        <v>1.7693174251628295E-3</v>
      </c>
      <c r="O84" s="298">
        <v>2.3683965026528521E-3</v>
      </c>
      <c r="P84" s="298">
        <v>2.2687748359132434E-3</v>
      </c>
      <c r="Q84" s="298">
        <v>3.2956893394252857E-3</v>
      </c>
      <c r="R84" s="298">
        <v>3.1845733198832878E-3</v>
      </c>
      <c r="S84" s="298">
        <v>3.1845733198832878E-3</v>
      </c>
      <c r="T84" s="298">
        <v>3.1845733198832878E-3</v>
      </c>
      <c r="U84" s="298">
        <v>3.1845733198832878E-3</v>
      </c>
    </row>
    <row r="85" spans="1:21" ht="14.4" x14ac:dyDescent="0.3">
      <c r="A85" s="43">
        <v>23</v>
      </c>
      <c r="B85" s="43"/>
      <c r="C85" s="1"/>
      <c r="D85" s="298">
        <v>14.111336248333169</v>
      </c>
      <c r="E85" s="298">
        <v>4.5502762773923147</v>
      </c>
      <c r="F85" s="298">
        <v>2.8173069900787024</v>
      </c>
      <c r="G85" s="298">
        <v>2.0670952688936821</v>
      </c>
      <c r="H85" s="298">
        <v>2.2928087910650583</v>
      </c>
      <c r="I85" s="298">
        <v>1.9472020944612196</v>
      </c>
      <c r="J85" s="298">
        <v>1.3645089433593613</v>
      </c>
      <c r="K85" s="298">
        <v>1.1709027163413299</v>
      </c>
      <c r="L85" s="298">
        <v>1.0449622436221531</v>
      </c>
      <c r="M85" s="298">
        <v>0.98668776275695924</v>
      </c>
      <c r="N85" s="298">
        <v>0.97151910927620677</v>
      </c>
      <c r="O85" s="298">
        <v>0.91499109629030073</v>
      </c>
      <c r="P85" s="298">
        <v>0.81941237005377587</v>
      </c>
      <c r="Q85" s="298">
        <v>0.64151011524075341</v>
      </c>
      <c r="R85" s="298">
        <v>0.64347399672352978</v>
      </c>
      <c r="S85" s="298">
        <v>0.64347399672352978</v>
      </c>
      <c r="T85" s="298">
        <v>0.64347399672352978</v>
      </c>
      <c r="U85" s="298">
        <v>0.64347399672352978</v>
      </c>
    </row>
    <row r="86" spans="1:21" ht="14.4" x14ac:dyDescent="0.3">
      <c r="A86" s="43">
        <v>24</v>
      </c>
      <c r="B86" s="43"/>
      <c r="C86" s="1"/>
      <c r="D86" s="298">
        <v>3.6824454901743818E-2</v>
      </c>
      <c r="E86" s="298">
        <v>9.8382681602157043E-3</v>
      </c>
      <c r="F86" s="298">
        <v>2.4869442257516557E-3</v>
      </c>
      <c r="G86" s="298">
        <v>3.7823320015961076E-3</v>
      </c>
      <c r="H86" s="298">
        <v>3.0035667733548503E-3</v>
      </c>
      <c r="I86" s="298">
        <v>5.3235417328994826E-3</v>
      </c>
      <c r="J86" s="298">
        <v>5.8116700278296428E-3</v>
      </c>
      <c r="K86" s="298">
        <v>2.9855222275943743E-3</v>
      </c>
      <c r="L86" s="298">
        <v>2.3272957918215429E-3</v>
      </c>
      <c r="M86" s="298">
        <v>3.1075268606800422E-3</v>
      </c>
      <c r="N86" s="298">
        <v>1.6642059470906843E-3</v>
      </c>
      <c r="O86" s="298">
        <v>5.0465814106315395E-4</v>
      </c>
      <c r="P86" s="298">
        <v>2.4652728971896356E-3</v>
      </c>
      <c r="Q86" s="298">
        <v>5.6815989694872823E-4</v>
      </c>
      <c r="R86" s="298">
        <v>2.910084521893625E-3</v>
      </c>
      <c r="S86" s="298">
        <v>2.910084521893625E-3</v>
      </c>
      <c r="T86" s="298">
        <v>2.910084521893625E-3</v>
      </c>
      <c r="U86" s="298">
        <v>2.910084521893625E-3</v>
      </c>
    </row>
    <row r="87" spans="1:21" ht="14.4" x14ac:dyDescent="0.3">
      <c r="A87" s="43">
        <v>25</v>
      </c>
      <c r="B87" s="43"/>
      <c r="C87" s="1"/>
      <c r="D87" s="298">
        <v>9.1460847189836905</v>
      </c>
      <c r="E87" s="298">
        <v>3.3287755929835949</v>
      </c>
      <c r="F87" s="298">
        <v>2.4769082641614584</v>
      </c>
      <c r="G87" s="298">
        <v>1.4065816239828657</v>
      </c>
      <c r="H87" s="298">
        <v>0.9812541545579192</v>
      </c>
      <c r="I87" s="298">
        <v>0.87516515937476913</v>
      </c>
      <c r="J87" s="298">
        <v>1.0203047520164361</v>
      </c>
      <c r="K87" s="298">
        <v>0.89181945133108653</v>
      </c>
      <c r="L87" s="298">
        <v>0.77335390981045959</v>
      </c>
      <c r="M87" s="298">
        <v>0.680943962179267</v>
      </c>
      <c r="N87" s="298">
        <v>0.60410783726699213</v>
      </c>
      <c r="O87" s="298">
        <v>0.59625159344747769</v>
      </c>
      <c r="P87" s="298">
        <v>0.57911197721694829</v>
      </c>
      <c r="Q87" s="298">
        <v>0.47588131924725879</v>
      </c>
      <c r="R87" s="298">
        <v>0.48332856078705327</v>
      </c>
      <c r="S87" s="298">
        <v>0.48332856078705327</v>
      </c>
      <c r="T87" s="298">
        <v>0.48332856078705327</v>
      </c>
      <c r="U87" s="298">
        <v>0.48332856078705327</v>
      </c>
    </row>
    <row r="88" spans="1:21" ht="14.4" x14ac:dyDescent="0.3">
      <c r="A88" s="43">
        <v>26</v>
      </c>
      <c r="B88" s="43"/>
      <c r="C88" s="1"/>
      <c r="D88" s="298">
        <v>5.0821504219815294E-2</v>
      </c>
      <c r="E88" s="298">
        <v>5.5062549483802257E-2</v>
      </c>
      <c r="F88" s="298">
        <v>2.6569838221547654E-2</v>
      </c>
      <c r="G88" s="298">
        <v>1.7180710354120391E-2</v>
      </c>
      <c r="H88" s="298">
        <v>1.4413765296386657E-2</v>
      </c>
      <c r="I88" s="298">
        <v>1.340051166752103E-2</v>
      </c>
      <c r="J88" s="298">
        <v>1.2261667576280695E-2</v>
      </c>
      <c r="K88" s="298">
        <v>1.1494261330574136E-2</v>
      </c>
      <c r="L88" s="298">
        <v>1.1502164549246671E-2</v>
      </c>
      <c r="M88" s="298">
        <v>6.3586835670058186E-3</v>
      </c>
      <c r="N88" s="298">
        <v>5.7283366829020497E-3</v>
      </c>
      <c r="O88" s="298">
        <v>1.4156391535011382E-3</v>
      </c>
      <c r="P88" s="298">
        <v>2.35923526977449E-3</v>
      </c>
      <c r="Q88" s="298">
        <v>3.048115692564884E-3</v>
      </c>
      <c r="R88" s="298">
        <v>2.505817916151253E-3</v>
      </c>
      <c r="S88" s="298">
        <v>2.505817916151253E-3</v>
      </c>
      <c r="T88" s="298">
        <v>2.505817916151253E-3</v>
      </c>
      <c r="U88" s="298">
        <v>2.505817916151253E-3</v>
      </c>
    </row>
    <row r="89" spans="1:21" ht="14.4" x14ac:dyDescent="0.3">
      <c r="A89" s="43">
        <v>27</v>
      </c>
      <c r="B89" s="43"/>
      <c r="C89" s="1"/>
      <c r="D89" s="298">
        <v>0.21238680360962095</v>
      </c>
      <c r="E89" s="298">
        <v>0.25707405179893289</v>
      </c>
      <c r="F89" s="298">
        <v>0.16073741316951387</v>
      </c>
      <c r="G89" s="298">
        <v>0.17380962651022741</v>
      </c>
      <c r="H89" s="298">
        <v>9.1193806224074303E-2</v>
      </c>
      <c r="I89" s="298">
        <v>0.33088372878460953</v>
      </c>
      <c r="J89" s="298">
        <v>0.40809218499146371</v>
      </c>
      <c r="K89" s="298">
        <v>0.28326195110267732</v>
      </c>
      <c r="L89" s="298">
        <v>0.20563582476045428</v>
      </c>
      <c r="M89" s="298">
        <v>0.15760505021576746</v>
      </c>
      <c r="N89" s="298">
        <v>9.9377043514666238E-2</v>
      </c>
      <c r="O89" s="298">
        <v>7.5391622206023953E-2</v>
      </c>
      <c r="P89" s="298">
        <v>6.8011485955306775E-2</v>
      </c>
      <c r="Q89" s="298">
        <v>5.56664765461901E-2</v>
      </c>
      <c r="R89" s="298">
        <v>5.3354821022066533E-2</v>
      </c>
      <c r="S89" s="298">
        <v>5.3354821022066533E-2</v>
      </c>
      <c r="T89" s="298">
        <v>5.3354821022066533E-2</v>
      </c>
      <c r="U89" s="298">
        <v>5.3354821022066533E-2</v>
      </c>
    </row>
    <row r="90" spans="1:21" ht="14.4" x14ac:dyDescent="0.3">
      <c r="A90" s="43">
        <v>28</v>
      </c>
      <c r="B90" s="43"/>
      <c r="C90" s="1"/>
      <c r="D90" s="298">
        <v>1.9392625777396737E-2</v>
      </c>
      <c r="E90" s="298">
        <v>4.7102518518670457E-2</v>
      </c>
      <c r="F90" s="298">
        <v>2.8971418661601897E-2</v>
      </c>
      <c r="G90" s="298">
        <v>1.1872541264805246E-2</v>
      </c>
      <c r="H90" s="298">
        <v>6.9611130983163278E-3</v>
      </c>
      <c r="I90" s="298">
        <v>8.5362681900183323E-3</v>
      </c>
      <c r="J90" s="298">
        <v>1.2556658041302614E-2</v>
      </c>
      <c r="K90" s="298">
        <v>1.0537656791068419E-2</v>
      </c>
      <c r="L90" s="298">
        <v>9.2930775732190107E-3</v>
      </c>
      <c r="M90" s="298">
        <v>3.3090135809581808E-3</v>
      </c>
      <c r="N90" s="298">
        <v>8.4429509332862738E-4</v>
      </c>
      <c r="O90" s="298">
        <v>1.7536756837702497E-3</v>
      </c>
      <c r="P90" s="298">
        <v>1.2486380283558422E-3</v>
      </c>
      <c r="Q90" s="298">
        <v>3.2293207653354824E-3</v>
      </c>
      <c r="R90" s="298">
        <v>2.7333925969108054E-3</v>
      </c>
      <c r="S90" s="298">
        <v>2.7333925969108054E-3</v>
      </c>
      <c r="T90" s="298">
        <v>2.7333925969108054E-3</v>
      </c>
      <c r="U90" s="298">
        <v>2.7333925969108054E-3</v>
      </c>
    </row>
    <row r="91" spans="1:21" ht="14.4" x14ac:dyDescent="0.3">
      <c r="A91" s="43">
        <v>29</v>
      </c>
      <c r="B91" s="43"/>
      <c r="C91" s="1"/>
      <c r="D91" s="298">
        <v>6.5146861253923207</v>
      </c>
      <c r="E91" s="298">
        <v>2.6788137999966111</v>
      </c>
      <c r="F91" s="298">
        <v>1.6106667515221753</v>
      </c>
      <c r="G91" s="298">
        <v>1.3975423047728013</v>
      </c>
      <c r="H91" s="298">
        <v>1.3999934630363924</v>
      </c>
      <c r="I91" s="298">
        <v>1.0907850218496227</v>
      </c>
      <c r="J91" s="298">
        <v>0.75870567381450926</v>
      </c>
      <c r="K91" s="298">
        <v>0.75678843679568575</v>
      </c>
      <c r="L91" s="298">
        <v>0.75575983296320848</v>
      </c>
      <c r="M91" s="298">
        <v>0.72478506133268517</v>
      </c>
      <c r="N91" s="298">
        <v>0.61840577400138186</v>
      </c>
      <c r="O91" s="298">
        <v>0.50578743449988961</v>
      </c>
      <c r="P91" s="298">
        <v>0.46727025134098182</v>
      </c>
      <c r="Q91" s="298">
        <v>0.45386743782930422</v>
      </c>
      <c r="R91" s="298">
        <v>0.4514293951690499</v>
      </c>
      <c r="S91" s="298">
        <v>0.4514293951690499</v>
      </c>
      <c r="T91" s="298">
        <v>0.4514293951690499</v>
      </c>
      <c r="U91" s="298">
        <v>0.4514293951690499</v>
      </c>
    </row>
    <row r="92" spans="1:21" ht="14.4" x14ac:dyDescent="0.3">
      <c r="A92" s="43">
        <v>30</v>
      </c>
      <c r="B92" s="43"/>
      <c r="C92" s="1"/>
      <c r="D92" s="298">
        <v>3.4884370898550648E-2</v>
      </c>
      <c r="E92" s="298">
        <v>4.1765772225850796E-3</v>
      </c>
      <c r="F92" s="298">
        <v>3.1945642193693534E-3</v>
      </c>
      <c r="G92" s="298">
        <v>3.60287707209932E-3</v>
      </c>
      <c r="H92" s="298">
        <v>3.2920300374340902E-3</v>
      </c>
      <c r="I92" s="298">
        <v>5.0314868423076246E-3</v>
      </c>
      <c r="J92" s="298">
        <v>4.6053075814346854E-3</v>
      </c>
      <c r="K92" s="298">
        <v>3.6991571943863818E-3</v>
      </c>
      <c r="L92" s="298">
        <v>1.9564019833816105E-3</v>
      </c>
      <c r="M92" s="298">
        <v>2.8717553777810353E-3</v>
      </c>
      <c r="N92" s="298">
        <v>2.6821760992090326E-3</v>
      </c>
      <c r="O92" s="298">
        <v>5.3985110846739104E-4</v>
      </c>
      <c r="P92" s="298">
        <v>8.6189772740157076E-4</v>
      </c>
      <c r="Q92" s="298">
        <v>7.0587971191137216E-4</v>
      </c>
      <c r="R92" s="298">
        <v>2.5967183728580682E-3</v>
      </c>
      <c r="S92" s="298">
        <v>2.5967183728580682E-3</v>
      </c>
      <c r="T92" s="298">
        <v>2.5967183728580682E-3</v>
      </c>
      <c r="U92" s="298">
        <v>2.5967183728580682E-3</v>
      </c>
    </row>
    <row r="93" spans="1:21" ht="14.4" x14ac:dyDescent="0.3">
      <c r="A93" s="43">
        <v>31</v>
      </c>
      <c r="B93" s="43"/>
      <c r="C93" s="1"/>
      <c r="D93" s="298">
        <v>6.3339107327432735</v>
      </c>
      <c r="E93" s="298">
        <v>2.4858685050570775</v>
      </c>
      <c r="F93" s="298">
        <v>1.4322222537619056</v>
      </c>
      <c r="G93" s="298">
        <v>0.82280279165842463</v>
      </c>
      <c r="H93" s="298">
        <v>0.68512353629472578</v>
      </c>
      <c r="I93" s="298">
        <v>0.58112005814292844</v>
      </c>
      <c r="J93" s="298">
        <v>0.56772740214173922</v>
      </c>
      <c r="K93" s="298">
        <v>0.46221863452787271</v>
      </c>
      <c r="L93" s="298">
        <v>0.42486576546865334</v>
      </c>
      <c r="M93" s="298">
        <v>0.43056874893088998</v>
      </c>
      <c r="N93" s="298">
        <v>0.43268010175951643</v>
      </c>
      <c r="O93" s="298">
        <v>0.37617527613812002</v>
      </c>
      <c r="P93" s="298">
        <v>0.31678577460681751</v>
      </c>
      <c r="Q93" s="298">
        <v>0.30877008317967913</v>
      </c>
      <c r="R93" s="298">
        <v>0.3120658886678041</v>
      </c>
      <c r="S93" s="298">
        <v>0.3120658886678041</v>
      </c>
      <c r="T93" s="298">
        <v>0.3120658886678041</v>
      </c>
      <c r="U93" s="298">
        <v>0.3120658886678041</v>
      </c>
    </row>
    <row r="94" spans="1:21" ht="14.4" x14ac:dyDescent="0.3">
      <c r="A94" s="43">
        <v>32</v>
      </c>
      <c r="B94" s="43"/>
      <c r="C94" s="1"/>
      <c r="D94" s="298">
        <v>4.6506205535545839E-2</v>
      </c>
      <c r="E94" s="298">
        <v>3.3260518350729629E-2</v>
      </c>
      <c r="F94" s="298">
        <v>2.9586195514357663E-2</v>
      </c>
      <c r="G94" s="298">
        <v>1.9535797704362808E-2</v>
      </c>
      <c r="H94" s="298">
        <v>1.4563606306652922E-2</v>
      </c>
      <c r="I94" s="298">
        <v>1.305927336868163E-2</v>
      </c>
      <c r="J94" s="298">
        <v>8.8970610246392086E-3</v>
      </c>
      <c r="K94" s="298">
        <v>1.1901375104307985E-2</v>
      </c>
      <c r="L94" s="298">
        <v>1.1921658515740853E-2</v>
      </c>
      <c r="M94" s="298">
        <v>5.9187663071225798E-3</v>
      </c>
      <c r="N94" s="298">
        <v>4.587462629749072E-3</v>
      </c>
      <c r="O94" s="298">
        <v>1.2699646308248702E-3</v>
      </c>
      <c r="P94" s="298">
        <v>2.2444292602197963E-3</v>
      </c>
      <c r="Q94" s="298">
        <v>2.8384966763810126E-3</v>
      </c>
      <c r="R94" s="298">
        <v>2.9287371239286731E-3</v>
      </c>
      <c r="S94" s="298">
        <v>2.9287371239286731E-3</v>
      </c>
      <c r="T94" s="298">
        <v>2.9287371239286731E-3</v>
      </c>
      <c r="U94" s="298">
        <v>2.9287371239286731E-3</v>
      </c>
    </row>
    <row r="95" spans="1:21" ht="14.4" x14ac:dyDescent="0.3">
      <c r="A95" s="43">
        <v>33</v>
      </c>
      <c r="B95" s="43"/>
      <c r="C95" s="1"/>
      <c r="D95" s="298">
        <v>0.30274927892914244</v>
      </c>
      <c r="E95" s="298">
        <v>1.7216657169820748E-2</v>
      </c>
      <c r="F95" s="298">
        <v>0.12233571605865014</v>
      </c>
      <c r="G95" s="298">
        <v>0.13605621192601108</v>
      </c>
      <c r="H95" s="298">
        <v>7.0763148414675126E-2</v>
      </c>
      <c r="I95" s="298">
        <v>0.26563628264177047</v>
      </c>
      <c r="J95" s="298">
        <v>0.34165566585023771</v>
      </c>
      <c r="K95" s="298">
        <v>0.22742267911109676</v>
      </c>
      <c r="L95" s="298">
        <v>0.15381673439332844</v>
      </c>
      <c r="M95" s="298">
        <v>0.11558930646976719</v>
      </c>
      <c r="N95" s="298">
        <v>8.4151409301761251E-2</v>
      </c>
      <c r="O95" s="298">
        <v>6.7503639523961864E-2</v>
      </c>
      <c r="P95" s="298">
        <v>5.6413371607669127E-2</v>
      </c>
      <c r="Q95" s="298">
        <v>4.1647697018963321E-2</v>
      </c>
      <c r="R95" s="298">
        <v>3.9799798597555773E-2</v>
      </c>
      <c r="S95" s="298">
        <v>3.9799798597555773E-2</v>
      </c>
      <c r="T95" s="298">
        <v>3.9799798597555773E-2</v>
      </c>
      <c r="U95" s="298">
        <v>3.9799798597555773E-2</v>
      </c>
    </row>
    <row r="96" spans="1:21" ht="14.4" x14ac:dyDescent="0.3">
      <c r="A96" s="43">
        <v>34</v>
      </c>
      <c r="B96" s="43"/>
      <c r="C96" s="1"/>
      <c r="D96" s="298">
        <v>0.15658261184107439</v>
      </c>
      <c r="E96" s="298">
        <v>6.9206297258360139E-2</v>
      </c>
      <c r="F96" s="298">
        <v>0.11719738000471913</v>
      </c>
      <c r="G96" s="298">
        <v>9.0950515996728487E-2</v>
      </c>
      <c r="H96" s="298">
        <v>5.6069430808107633E-2</v>
      </c>
      <c r="I96" s="298">
        <v>0.18457651004529252</v>
      </c>
      <c r="J96" s="298">
        <v>0.21861320828195963</v>
      </c>
      <c r="K96" s="298">
        <v>0.14805460867942424</v>
      </c>
      <c r="L96" s="298">
        <v>0.10865726471480185</v>
      </c>
      <c r="M96" s="298">
        <v>8.7921961526698345E-2</v>
      </c>
      <c r="N96" s="298">
        <v>5.8256465500538285E-2</v>
      </c>
      <c r="O96" s="298">
        <v>4.4253058727944716E-2</v>
      </c>
      <c r="P96" s="298">
        <v>3.9509788445304235E-2</v>
      </c>
      <c r="Q96" s="298">
        <v>2.9542651780987427E-2</v>
      </c>
      <c r="R96" s="298">
        <v>2.8071591122090556E-2</v>
      </c>
      <c r="S96" s="298">
        <v>2.8071591122090556E-2</v>
      </c>
      <c r="T96" s="298">
        <v>2.8071591122090556E-2</v>
      </c>
      <c r="U96" s="298">
        <v>2.8071591122090556E-2</v>
      </c>
    </row>
    <row r="97" spans="1:21" ht="14.4" x14ac:dyDescent="0.3">
      <c r="A97" s="43">
        <v>35</v>
      </c>
      <c r="B97" s="43"/>
      <c r="C97" s="1"/>
      <c r="D97" s="298">
        <v>5.9029852258662023</v>
      </c>
      <c r="E97" s="298">
        <v>1.4733260588243429</v>
      </c>
      <c r="F97" s="298">
        <v>1.2803616292235322</v>
      </c>
      <c r="G97" s="298">
        <v>1.0290257258239199</v>
      </c>
      <c r="H97" s="298">
        <v>0.95078684693100002</v>
      </c>
      <c r="I97" s="298">
        <v>0.68755518357204037</v>
      </c>
      <c r="J97" s="298">
        <v>0.51648077967213191</v>
      </c>
      <c r="K97" s="298">
        <v>0.5658478637815777</v>
      </c>
      <c r="L97" s="298">
        <v>0.55172205299175037</v>
      </c>
      <c r="M97" s="298">
        <v>0.48796466250698262</v>
      </c>
      <c r="N97" s="298">
        <v>0.39029335703643686</v>
      </c>
      <c r="O97" s="298">
        <v>0.36343466624775511</v>
      </c>
      <c r="P97" s="298">
        <v>0.35166631128246867</v>
      </c>
      <c r="Q97" s="298">
        <v>0.28545240285608292</v>
      </c>
      <c r="R97" s="298">
        <v>0.28281840150514814</v>
      </c>
      <c r="S97" s="298">
        <v>0.28281840150514814</v>
      </c>
      <c r="T97" s="298">
        <v>0.28281840150514814</v>
      </c>
      <c r="U97" s="298">
        <v>0.28281840150514814</v>
      </c>
    </row>
    <row r="98" spans="1:21" ht="14.4" x14ac:dyDescent="0.3">
      <c r="A98" s="43">
        <v>36</v>
      </c>
      <c r="B98" s="43"/>
      <c r="C98" s="1"/>
      <c r="D98" s="298">
        <v>0.15658261184107439</v>
      </c>
      <c r="E98" s="298">
        <v>6.9206297258360139E-2</v>
      </c>
      <c r="F98" s="298">
        <v>0.11719738000471913</v>
      </c>
      <c r="G98" s="298">
        <v>9.0950515996728487E-2</v>
      </c>
      <c r="H98" s="298">
        <v>5.6069430808107633E-2</v>
      </c>
      <c r="I98" s="298">
        <v>0.18457651004529252</v>
      </c>
      <c r="J98" s="298">
        <v>0.21861320828195963</v>
      </c>
      <c r="K98" s="298">
        <v>0.14805460867942424</v>
      </c>
      <c r="L98" s="298">
        <v>0.10865726471480185</v>
      </c>
      <c r="M98" s="298">
        <v>8.7921961526698345E-2</v>
      </c>
      <c r="N98" s="298">
        <v>5.8256465500538285E-2</v>
      </c>
      <c r="O98" s="298">
        <v>4.4253058727944716E-2</v>
      </c>
      <c r="P98" s="298">
        <v>3.9509788445304235E-2</v>
      </c>
      <c r="Q98" s="298">
        <v>2.9542651780987427E-2</v>
      </c>
      <c r="R98" s="298">
        <v>2.8071591122090556E-2</v>
      </c>
      <c r="S98" s="298">
        <v>2.8071591122090556E-2</v>
      </c>
      <c r="T98" s="298">
        <v>2.8071591122090556E-2</v>
      </c>
      <c r="U98" s="298">
        <v>2.8071591122090556E-2</v>
      </c>
    </row>
    <row r="99" spans="1:21" ht="14.4" x14ac:dyDescent="0.3">
      <c r="A99" s="43">
        <v>37</v>
      </c>
      <c r="B99" s="43"/>
      <c r="C99" s="1"/>
      <c r="D99" s="298">
        <v>4.7242605294817244</v>
      </c>
      <c r="E99" s="298">
        <v>1.4147795985274163</v>
      </c>
      <c r="F99" s="298">
        <v>0.86563302172429457</v>
      </c>
      <c r="G99" s="298">
        <v>0.58792408051231626</v>
      </c>
      <c r="H99" s="298">
        <v>0.44571284137714501</v>
      </c>
      <c r="I99" s="298">
        <v>0.35071388358174704</v>
      </c>
      <c r="J99" s="298">
        <v>0.34192356461046053</v>
      </c>
      <c r="K99" s="298">
        <v>0.32136315457507253</v>
      </c>
      <c r="L99" s="298">
        <v>0.32334277343163409</v>
      </c>
      <c r="M99" s="298">
        <v>0.31458122808120276</v>
      </c>
      <c r="N99" s="298">
        <v>0.26038899134139826</v>
      </c>
      <c r="O99" s="298">
        <v>0.23293659142238254</v>
      </c>
      <c r="P99" s="298">
        <v>0.23495243567481122</v>
      </c>
      <c r="Q99" s="298">
        <v>0.1983093021126322</v>
      </c>
      <c r="R99" s="298">
        <v>0.19995839901366486</v>
      </c>
      <c r="S99" s="298">
        <v>0.19995839901366486</v>
      </c>
      <c r="T99" s="298">
        <v>0.19995839901366486</v>
      </c>
      <c r="U99" s="298">
        <v>0.19995839901366486</v>
      </c>
    </row>
    <row r="100" spans="1:21" ht="14.4" x14ac:dyDescent="0.3">
      <c r="A100" s="43">
        <v>38</v>
      </c>
      <c r="B100" s="43"/>
      <c r="C100" s="1"/>
      <c r="D100" s="298">
        <v>0.15658261184107439</v>
      </c>
      <c r="E100" s="298">
        <v>6.9206297258360139E-2</v>
      </c>
      <c r="F100" s="298">
        <v>0.11719738000471913</v>
      </c>
      <c r="G100" s="298">
        <v>9.0950515996728487E-2</v>
      </c>
      <c r="H100" s="298">
        <v>5.6069430808107633E-2</v>
      </c>
      <c r="I100" s="298">
        <v>0.18457651004529252</v>
      </c>
      <c r="J100" s="298">
        <v>0.21861320828195963</v>
      </c>
      <c r="K100" s="298">
        <v>0.14805460867942424</v>
      </c>
      <c r="L100" s="298">
        <v>0.10865726471480185</v>
      </c>
      <c r="M100" s="298">
        <v>8.7921961526698345E-2</v>
      </c>
      <c r="N100" s="298">
        <v>5.8256465500538285E-2</v>
      </c>
      <c r="O100" s="298">
        <v>4.4253058727944716E-2</v>
      </c>
      <c r="P100" s="298">
        <v>3.9509788445304235E-2</v>
      </c>
      <c r="Q100" s="298">
        <v>2.9542651780987427E-2</v>
      </c>
      <c r="R100" s="298">
        <v>2.8071591122090556E-2</v>
      </c>
      <c r="S100" s="298">
        <v>2.8071591122090556E-2</v>
      </c>
      <c r="T100" s="298">
        <v>2.8071591122090556E-2</v>
      </c>
      <c r="U100" s="298">
        <v>2.8071591122090556E-2</v>
      </c>
    </row>
    <row r="101" spans="1:21" ht="14.4" x14ac:dyDescent="0.3">
      <c r="A101" s="43">
        <v>39</v>
      </c>
      <c r="B101" s="43"/>
      <c r="C101" s="1"/>
      <c r="D101" s="298">
        <v>0.2079850899943797</v>
      </c>
      <c r="E101" s="298">
        <v>0.13041647508011303</v>
      </c>
      <c r="F101" s="298">
        <v>0.12947509110634475</v>
      </c>
      <c r="G101" s="298">
        <v>0.11009404781577684</v>
      </c>
      <c r="H101" s="298">
        <v>6.014929527512837E-2</v>
      </c>
      <c r="I101" s="298">
        <v>0.21949671273146126</v>
      </c>
      <c r="J101" s="298">
        <v>0.27640701454444089</v>
      </c>
      <c r="K101" s="298">
        <v>0.17818419975534588</v>
      </c>
      <c r="L101" s="298">
        <v>0.12256174642203793</v>
      </c>
      <c r="M101" s="298">
        <v>9.8387203409769475E-2</v>
      </c>
      <c r="N101" s="298">
        <v>7.1958024598108364E-2</v>
      </c>
      <c r="O101" s="298">
        <v>5.1366620792552581E-2</v>
      </c>
      <c r="P101" s="298">
        <v>4.2850088405828553E-2</v>
      </c>
      <c r="Q101" s="298">
        <v>3.5922322150466021E-2</v>
      </c>
      <c r="R101" s="298">
        <v>3.4556391879303032E-2</v>
      </c>
      <c r="S101" s="298">
        <v>3.4556391879303032E-2</v>
      </c>
      <c r="T101" s="298">
        <v>3.4556391879303032E-2</v>
      </c>
      <c r="U101" s="298">
        <v>3.4556391879303032E-2</v>
      </c>
    </row>
    <row r="102" spans="1:21" ht="14.4" x14ac:dyDescent="0.3">
      <c r="A102" s="43">
        <v>40</v>
      </c>
      <c r="B102" s="43"/>
      <c r="C102" s="1"/>
      <c r="D102" s="298">
        <v>0.15658261184107439</v>
      </c>
      <c r="E102" s="298">
        <v>6.9206297258360139E-2</v>
      </c>
      <c r="F102" s="298">
        <v>0.11719738000471913</v>
      </c>
      <c r="G102" s="298">
        <v>9.0950515996728487E-2</v>
      </c>
      <c r="H102" s="298">
        <v>5.6069430808107633E-2</v>
      </c>
      <c r="I102" s="298">
        <v>0.18457651004529252</v>
      </c>
      <c r="J102" s="298">
        <v>0.21861320828195963</v>
      </c>
      <c r="K102" s="298">
        <v>0.14805460867942424</v>
      </c>
      <c r="L102" s="298">
        <v>0.10865726471480185</v>
      </c>
      <c r="M102" s="298">
        <v>8.7921961526698345E-2</v>
      </c>
      <c r="N102" s="298">
        <v>5.8256465500538285E-2</v>
      </c>
      <c r="O102" s="298">
        <v>4.4253058727944716E-2</v>
      </c>
      <c r="P102" s="298">
        <v>3.9509788445304235E-2</v>
      </c>
      <c r="Q102" s="298">
        <v>2.9542651780987427E-2</v>
      </c>
      <c r="R102" s="298">
        <v>2.8071591122090556E-2</v>
      </c>
      <c r="S102" s="298">
        <v>2.8071591122090556E-2</v>
      </c>
      <c r="T102" s="298">
        <v>2.8071591122090556E-2</v>
      </c>
      <c r="U102" s="298">
        <v>2.8071591122090556E-2</v>
      </c>
    </row>
    <row r="103" spans="1:21" ht="14.4" x14ac:dyDescent="0.3">
      <c r="A103" s="43">
        <v>41</v>
      </c>
      <c r="B103" s="43"/>
      <c r="C103" s="1"/>
      <c r="D103" s="298">
        <v>2.9593523720748518</v>
      </c>
      <c r="E103" s="298">
        <v>1.3960448536050045</v>
      </c>
      <c r="F103" s="298">
        <v>0.9788469484846104</v>
      </c>
      <c r="G103" s="298">
        <v>0.76626902234982497</v>
      </c>
      <c r="H103" s="298">
        <v>0.64986432358583057</v>
      </c>
      <c r="I103" s="298">
        <v>0.49479101470748305</v>
      </c>
      <c r="J103" s="298">
        <v>0.39951328972932304</v>
      </c>
      <c r="K103" s="298">
        <v>0.41594580564321404</v>
      </c>
      <c r="L103" s="298">
        <v>0.37579029347140652</v>
      </c>
      <c r="M103" s="298">
        <v>0.32440122806902955</v>
      </c>
      <c r="N103" s="298">
        <v>0.30529874652047795</v>
      </c>
      <c r="O103" s="298">
        <v>0.272856325769609</v>
      </c>
      <c r="P103" s="298">
        <v>0.23528249165808171</v>
      </c>
      <c r="Q103" s="298">
        <v>0.21930268062364178</v>
      </c>
      <c r="R103" s="298">
        <v>0.21942223358685053</v>
      </c>
      <c r="S103" s="298">
        <v>0.21942223358685053</v>
      </c>
      <c r="T103" s="298">
        <v>0.21942223358685053</v>
      </c>
      <c r="U103" s="298">
        <v>0.21942223358685053</v>
      </c>
    </row>
    <row r="104" spans="1:21" ht="14.4" x14ac:dyDescent="0.3">
      <c r="A104" s="43">
        <v>42</v>
      </c>
      <c r="B104" s="43"/>
      <c r="C104" s="1"/>
      <c r="D104" s="298">
        <v>0.15658261184107439</v>
      </c>
      <c r="E104" s="298">
        <v>6.9206297258360139E-2</v>
      </c>
      <c r="F104" s="298">
        <v>0.11719738000471913</v>
      </c>
      <c r="G104" s="298">
        <v>9.0950515996728487E-2</v>
      </c>
      <c r="H104" s="298">
        <v>5.6069430808107633E-2</v>
      </c>
      <c r="I104" s="298">
        <v>0.18457651004529252</v>
      </c>
      <c r="J104" s="298">
        <v>0.21861320828195963</v>
      </c>
      <c r="K104" s="298">
        <v>0.14805460867942424</v>
      </c>
      <c r="L104" s="298">
        <v>0.10865726471480185</v>
      </c>
      <c r="M104" s="298">
        <v>8.7921961526698345E-2</v>
      </c>
      <c r="N104" s="298">
        <v>5.8256465500538285E-2</v>
      </c>
      <c r="O104" s="298">
        <v>4.4253058727944716E-2</v>
      </c>
      <c r="P104" s="298">
        <v>3.9509788445304235E-2</v>
      </c>
      <c r="Q104" s="298">
        <v>2.9542651780987427E-2</v>
      </c>
      <c r="R104" s="298">
        <v>2.8071591122090556E-2</v>
      </c>
      <c r="S104" s="298">
        <v>2.8071591122090556E-2</v>
      </c>
      <c r="T104" s="298">
        <v>2.8071591122090556E-2</v>
      </c>
      <c r="U104" s="298">
        <v>2.8071591122090556E-2</v>
      </c>
    </row>
    <row r="105" spans="1:21" ht="14.4" x14ac:dyDescent="0.3">
      <c r="A105" s="43">
        <v>43</v>
      </c>
      <c r="B105" s="43"/>
      <c r="C105" s="1"/>
      <c r="D105" s="298">
        <v>2.2178560512821952</v>
      </c>
      <c r="E105" s="298">
        <v>1.1905972320783262</v>
      </c>
      <c r="F105" s="298">
        <v>0.75615175660327605</v>
      </c>
      <c r="G105" s="298">
        <v>0.45362551647456517</v>
      </c>
      <c r="H105" s="298">
        <v>0.28528173727691464</v>
      </c>
      <c r="I105" s="298">
        <v>0.21779752656057286</v>
      </c>
      <c r="J105" s="298">
        <v>0.25538951981730396</v>
      </c>
      <c r="K105" s="298">
        <v>0.24818871965708805</v>
      </c>
      <c r="L105" s="298">
        <v>0.22308863199724832</v>
      </c>
      <c r="M105" s="298">
        <v>0.19779080449305989</v>
      </c>
      <c r="N105" s="298">
        <v>0.1877023014843526</v>
      </c>
      <c r="O105" s="298">
        <v>0.18024721970812474</v>
      </c>
      <c r="P105" s="298">
        <v>0.14969356494618877</v>
      </c>
      <c r="Q105" s="298">
        <v>0.15402172112964774</v>
      </c>
      <c r="R105" s="298">
        <v>0.14788153997371078</v>
      </c>
      <c r="S105" s="298">
        <v>0.14788153997371078</v>
      </c>
      <c r="T105" s="298">
        <v>0.14788153997371078</v>
      </c>
      <c r="U105" s="298">
        <v>0.14788153997371078</v>
      </c>
    </row>
    <row r="106" spans="1:21" ht="14.4" x14ac:dyDescent="0.3">
      <c r="A106" s="43">
        <v>44</v>
      </c>
      <c r="B106" s="43"/>
      <c r="C106" s="1"/>
      <c r="D106" s="298">
        <v>0.15658261184107439</v>
      </c>
      <c r="E106" s="298">
        <v>6.9206297258360139E-2</v>
      </c>
      <c r="F106" s="298">
        <v>0.11719738000471913</v>
      </c>
      <c r="G106" s="298">
        <v>9.0950515996728487E-2</v>
      </c>
      <c r="H106" s="298">
        <v>5.6069430808107633E-2</v>
      </c>
      <c r="I106" s="298">
        <v>0.18457651004529252</v>
      </c>
      <c r="J106" s="298">
        <v>0.21861320828195963</v>
      </c>
      <c r="K106" s="298">
        <v>0.14805460867942424</v>
      </c>
      <c r="L106" s="298">
        <v>0.10865726471480185</v>
      </c>
      <c r="M106" s="298">
        <v>8.7921961526698345E-2</v>
      </c>
      <c r="N106" s="298">
        <v>5.8256465500538285E-2</v>
      </c>
      <c r="O106" s="298">
        <v>4.4253058727944716E-2</v>
      </c>
      <c r="P106" s="298">
        <v>3.9509788445304235E-2</v>
      </c>
      <c r="Q106" s="298">
        <v>2.9542651780987427E-2</v>
      </c>
      <c r="R106" s="298">
        <v>2.8071591122090556E-2</v>
      </c>
      <c r="S106" s="298">
        <v>2.8071591122090556E-2</v>
      </c>
      <c r="T106" s="298">
        <v>2.8071591122090556E-2</v>
      </c>
      <c r="U106" s="298">
        <v>2.8071591122090556E-2</v>
      </c>
    </row>
    <row r="107" spans="1:21" ht="14.4" x14ac:dyDescent="0.3">
      <c r="A107" s="43">
        <v>45</v>
      </c>
      <c r="B107" s="43"/>
      <c r="C107" s="1"/>
      <c r="D107" s="298">
        <v>0.15674381381219379</v>
      </c>
      <c r="E107" s="298">
        <v>6.9135515452953725E-2</v>
      </c>
      <c r="F107" s="298">
        <v>0.11721931861181524</v>
      </c>
      <c r="G107" s="298">
        <v>9.0976276916425139E-2</v>
      </c>
      <c r="H107" s="298">
        <v>5.5974795488511517E-2</v>
      </c>
      <c r="I107" s="298">
        <v>0.18455139999068912</v>
      </c>
      <c r="J107" s="298">
        <v>0.21866515563030009</v>
      </c>
      <c r="K107" s="298">
        <v>0.14808361462956454</v>
      </c>
      <c r="L107" s="298">
        <v>0.10867252849450271</v>
      </c>
      <c r="M107" s="298">
        <v>8.7932880027034033E-2</v>
      </c>
      <c r="N107" s="298">
        <v>5.8261619608528936E-2</v>
      </c>
      <c r="O107" s="298">
        <v>4.4254803859095013E-2</v>
      </c>
      <c r="P107" s="298">
        <v>3.9511622355493263E-2</v>
      </c>
      <c r="Q107" s="298">
        <v>2.9543012509050892E-2</v>
      </c>
      <c r="R107" s="298">
        <v>2.8071590865564936E-2</v>
      </c>
      <c r="S107" s="298">
        <v>2.8071590865564936E-2</v>
      </c>
      <c r="T107" s="298">
        <v>2.8071590865564936E-2</v>
      </c>
      <c r="U107" s="298">
        <v>2.8071590865564936E-2</v>
      </c>
    </row>
    <row r="108" spans="1:21" ht="14.4" x14ac:dyDescent="0.3">
      <c r="A108" s="43">
        <v>46</v>
      </c>
      <c r="B108" s="43"/>
      <c r="C108" s="1"/>
      <c r="D108" s="298">
        <v>0.15658261184107439</v>
      </c>
      <c r="E108" s="298">
        <v>6.9206297258360139E-2</v>
      </c>
      <c r="F108" s="298">
        <v>0.11719738000471913</v>
      </c>
      <c r="G108" s="298">
        <v>9.0950515996728487E-2</v>
      </c>
      <c r="H108" s="298">
        <v>5.6069430808107633E-2</v>
      </c>
      <c r="I108" s="298">
        <v>0.18457651004529252</v>
      </c>
      <c r="J108" s="298">
        <v>0.21861320828195963</v>
      </c>
      <c r="K108" s="298">
        <v>0.14805460867942424</v>
      </c>
      <c r="L108" s="298">
        <v>0.10865726471480185</v>
      </c>
      <c r="M108" s="298">
        <v>8.7921961526698345E-2</v>
      </c>
      <c r="N108" s="298">
        <v>5.8256465500538285E-2</v>
      </c>
      <c r="O108" s="298">
        <v>4.4253058727944716E-2</v>
      </c>
      <c r="P108" s="298">
        <v>3.9509788445304235E-2</v>
      </c>
      <c r="Q108" s="298">
        <v>2.9542651780987427E-2</v>
      </c>
      <c r="R108" s="298">
        <v>2.8071591122090556E-2</v>
      </c>
      <c r="S108" s="298">
        <v>2.8071591122090556E-2</v>
      </c>
      <c r="T108" s="298">
        <v>2.8071591122090556E-2</v>
      </c>
      <c r="U108" s="298">
        <v>2.8071591122090556E-2</v>
      </c>
    </row>
    <row r="109" spans="1:21" ht="14.4" x14ac:dyDescent="0.3">
      <c r="A109" s="43">
        <v>47</v>
      </c>
      <c r="B109" s="43"/>
      <c r="C109" s="1"/>
      <c r="D109" s="298">
        <v>2.3268630691236321</v>
      </c>
      <c r="E109" s="298">
        <v>0.78641478977548207</v>
      </c>
      <c r="F109" s="298">
        <v>0.65683719239534155</v>
      </c>
      <c r="G109" s="298">
        <v>0.58143321676267457</v>
      </c>
      <c r="H109" s="298">
        <v>0.44928960665019158</v>
      </c>
      <c r="I109" s="298">
        <v>0.41294151992551731</v>
      </c>
      <c r="J109" s="298">
        <v>0.2940568330031525</v>
      </c>
      <c r="K109" s="298">
        <v>0.2786885915405366</v>
      </c>
      <c r="L109" s="298">
        <v>0.26697263616116279</v>
      </c>
      <c r="M109" s="298">
        <v>0.26064585390490097</v>
      </c>
      <c r="N109" s="298">
        <v>0.2367936036530196</v>
      </c>
      <c r="O109" s="298">
        <v>0.19038468562778788</v>
      </c>
      <c r="P109" s="298">
        <v>0.18456070692514012</v>
      </c>
      <c r="Q109" s="298">
        <v>0.16108516476637483</v>
      </c>
      <c r="R109" s="298">
        <v>0.15522073313539117</v>
      </c>
      <c r="S109" s="298">
        <v>0.15522073313539117</v>
      </c>
      <c r="T109" s="298">
        <v>0.15522073313539117</v>
      </c>
      <c r="U109" s="298">
        <v>0.15522073313539117</v>
      </c>
    </row>
    <row r="110" spans="1:21" ht="14.4" x14ac:dyDescent="0.3">
      <c r="A110" s="43">
        <v>48</v>
      </c>
      <c r="B110" s="43"/>
      <c r="C110" s="1"/>
      <c r="D110" s="298">
        <v>0.15658261184107439</v>
      </c>
      <c r="E110" s="298">
        <v>6.9206297258360139E-2</v>
      </c>
      <c r="F110" s="298">
        <v>0.11719738000471913</v>
      </c>
      <c r="G110" s="298">
        <v>9.0950515996728487E-2</v>
      </c>
      <c r="H110" s="298">
        <v>5.6069430808107633E-2</v>
      </c>
      <c r="I110" s="298">
        <v>0.18457651004529252</v>
      </c>
      <c r="J110" s="298">
        <v>0.21861320828195963</v>
      </c>
      <c r="K110" s="298">
        <v>0.14805460867942424</v>
      </c>
      <c r="L110" s="298">
        <v>0.10865726471480185</v>
      </c>
      <c r="M110" s="298">
        <v>8.7921961526698345E-2</v>
      </c>
      <c r="N110" s="298">
        <v>5.8256465500538285E-2</v>
      </c>
      <c r="O110" s="298">
        <v>4.4253058727944716E-2</v>
      </c>
      <c r="P110" s="298">
        <v>3.9509788445304235E-2</v>
      </c>
      <c r="Q110" s="298">
        <v>2.9542651780987427E-2</v>
      </c>
      <c r="R110" s="298">
        <v>2.8071591122090556E-2</v>
      </c>
      <c r="S110" s="298">
        <v>2.8071591122090556E-2</v>
      </c>
      <c r="T110" s="298">
        <v>2.8071591122090556E-2</v>
      </c>
      <c r="U110" s="298">
        <v>2.8071591122090556E-2</v>
      </c>
    </row>
    <row r="111" spans="1:21" ht="14.4" x14ac:dyDescent="0.3">
      <c r="A111" s="43">
        <v>49</v>
      </c>
      <c r="B111" s="43"/>
      <c r="C111" s="1"/>
      <c r="D111" s="298">
        <v>2.222090686942058</v>
      </c>
      <c r="E111" s="298">
        <v>0.8231320290067401</v>
      </c>
      <c r="F111" s="298">
        <v>0.54372728367538525</v>
      </c>
      <c r="G111" s="298">
        <v>0.33388586731319231</v>
      </c>
      <c r="H111" s="298">
        <v>0.20472977887589594</v>
      </c>
      <c r="I111" s="298">
        <v>0.16067909526322774</v>
      </c>
      <c r="J111" s="298">
        <v>0.19635848943192444</v>
      </c>
      <c r="K111" s="298">
        <v>0.18022284651166184</v>
      </c>
      <c r="L111" s="298">
        <v>0.15241194609444156</v>
      </c>
      <c r="M111" s="298">
        <v>0.14568078669873447</v>
      </c>
      <c r="N111" s="298">
        <v>0.14316623416465049</v>
      </c>
      <c r="O111" s="298">
        <v>0.11820986355275069</v>
      </c>
      <c r="P111" s="298">
        <v>0.11324661442841535</v>
      </c>
      <c r="Q111" s="298">
        <v>0.10591950094820782</v>
      </c>
      <c r="R111" s="298">
        <v>0.10181373046970461</v>
      </c>
      <c r="S111" s="298">
        <v>0.10181373046970461</v>
      </c>
      <c r="T111" s="298">
        <v>0.10181373046970461</v>
      </c>
      <c r="U111" s="298">
        <v>0.10181373046970461</v>
      </c>
    </row>
    <row r="112" spans="1:21" ht="14.4" x14ac:dyDescent="0.3">
      <c r="A112" s="43">
        <v>50</v>
      </c>
      <c r="B112" s="43"/>
      <c r="C112" s="1"/>
      <c r="D112" s="298">
        <v>0.15658261184107439</v>
      </c>
      <c r="E112" s="298">
        <v>6.9206297258360139E-2</v>
      </c>
      <c r="F112" s="298">
        <v>0.11719738000471913</v>
      </c>
      <c r="G112" s="298">
        <v>9.0950515996728487E-2</v>
      </c>
      <c r="H112" s="298">
        <v>5.6069430808107633E-2</v>
      </c>
      <c r="I112" s="298">
        <v>0.18457651004529252</v>
      </c>
      <c r="J112" s="298">
        <v>0.21861320828195963</v>
      </c>
      <c r="K112" s="298">
        <v>0.14805460867942424</v>
      </c>
      <c r="L112" s="298">
        <v>0.10865726471480185</v>
      </c>
      <c r="M112" s="298">
        <v>8.7921961526698345E-2</v>
      </c>
      <c r="N112" s="298">
        <v>5.8256465500538285E-2</v>
      </c>
      <c r="O112" s="298">
        <v>4.4253058727944716E-2</v>
      </c>
      <c r="P112" s="298">
        <v>3.9509788445304235E-2</v>
      </c>
      <c r="Q112" s="298">
        <v>2.9542651780987427E-2</v>
      </c>
      <c r="R112" s="298">
        <v>2.8071591122090556E-2</v>
      </c>
      <c r="S112" s="298">
        <v>2.8071591122090556E-2</v>
      </c>
      <c r="T112" s="298">
        <v>2.8071591122090556E-2</v>
      </c>
      <c r="U112" s="298">
        <v>2.8071591122090556E-2</v>
      </c>
    </row>
    <row r="113" spans="2:21" x14ac:dyDescent="0.25">
      <c r="D113" s="51"/>
    </row>
    <row r="114" spans="2:21" x14ac:dyDescent="0.25">
      <c r="B114" s="26" t="s">
        <v>5</v>
      </c>
      <c r="D114" s="32">
        <f t="shared" ref="D114:U114" si="7">SQRT(SUMSQ(D64:D112))</f>
        <v>163.93774717643851</v>
      </c>
      <c r="E114" s="32">
        <f t="shared" si="7"/>
        <v>113.48802501155089</v>
      </c>
      <c r="F114" s="32">
        <f t="shared" si="7"/>
        <v>92.201479834948017</v>
      </c>
      <c r="G114" s="32">
        <f t="shared" si="7"/>
        <v>70.914070764570482</v>
      </c>
      <c r="H114" s="32">
        <f t="shared" si="7"/>
        <v>54.750054571794223</v>
      </c>
      <c r="I114" s="32">
        <f t="shared" si="7"/>
        <v>45.409107972180678</v>
      </c>
      <c r="J114" s="32">
        <f t="shared" si="7"/>
        <v>40.452846599409661</v>
      </c>
      <c r="K114" s="32">
        <f t="shared" si="7"/>
        <v>36.567604373048553</v>
      </c>
      <c r="L114" s="32">
        <f t="shared" si="7"/>
        <v>33.722497172696237</v>
      </c>
      <c r="M114" s="32">
        <f t="shared" si="7"/>
        <v>31.537820676686238</v>
      </c>
      <c r="N114" s="32">
        <f t="shared" si="7"/>
        <v>28.353599859458789</v>
      </c>
      <c r="O114" s="32">
        <f t="shared" si="7"/>
        <v>26.003967172553079</v>
      </c>
      <c r="P114" s="32">
        <f t="shared" si="7"/>
        <v>24.160245237926446</v>
      </c>
      <c r="Q114" s="32">
        <f t="shared" si="7"/>
        <v>21.249690073067327</v>
      </c>
      <c r="R114" s="32">
        <f t="shared" si="7"/>
        <v>21.247242746791578</v>
      </c>
      <c r="S114" s="32">
        <f t="shared" si="7"/>
        <v>21.247242746791578</v>
      </c>
      <c r="T114" s="32">
        <f t="shared" si="7"/>
        <v>21.247242746791578</v>
      </c>
      <c r="U114" s="32">
        <f t="shared" si="7"/>
        <v>21.247242746791578</v>
      </c>
    </row>
    <row r="116" spans="2:21" x14ac:dyDescent="0.25">
      <c r="D116" s="32"/>
      <c r="E116" s="32"/>
      <c r="F116" s="32"/>
      <c r="G116" s="32"/>
      <c r="H116" s="32"/>
      <c r="I116" s="32"/>
    </row>
    <row r="118" spans="2:21" x14ac:dyDescent="0.25">
      <c r="D118" s="32"/>
      <c r="E118" s="32"/>
      <c r="F118" s="32"/>
      <c r="G118" s="32"/>
      <c r="H118" s="32"/>
      <c r="I118" s="32"/>
    </row>
  </sheetData>
  <pageMargins left="0.75" right="0.75" top="1" bottom="1" header="0.5" footer="0.5"/>
  <pageSetup scale="86" fitToWidth="2" fitToHeight="2" orientation="portrait" r:id="rId1"/>
  <headerFooter alignWithMargins="0">
    <oddHeader>&amp;R&amp;D
&amp;T
rh</oddHeader>
    <oddFooter>&amp;L&amp;F
&amp;A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U118"/>
  <sheetViews>
    <sheetView workbookViewId="0"/>
  </sheetViews>
  <sheetFormatPr defaultRowHeight="13.2" x14ac:dyDescent="0.25"/>
  <cols>
    <col min="1" max="6" width="9.109375" style="26"/>
    <col min="7" max="7" width="9.109375" style="26" customWidth="1"/>
    <col min="8" max="8" width="10.6640625" style="26" customWidth="1"/>
    <col min="9" max="13" width="9.109375" style="26"/>
    <col min="14" max="14" width="9.109375" style="26" customWidth="1"/>
    <col min="15" max="19" width="9.5546875" style="26" bestFit="1" customWidth="1"/>
    <col min="20" max="262" width="9.109375" style="26"/>
    <col min="263" max="263" width="9.5546875" style="26" bestFit="1" customWidth="1"/>
    <col min="264" max="264" width="10.6640625" style="26" customWidth="1"/>
    <col min="265" max="518" width="9.109375" style="26"/>
    <col min="519" max="519" width="9.5546875" style="26" bestFit="1" customWidth="1"/>
    <col min="520" max="520" width="10.6640625" style="26" customWidth="1"/>
    <col min="521" max="774" width="9.109375" style="26"/>
    <col min="775" max="775" width="9.5546875" style="26" bestFit="1" customWidth="1"/>
    <col min="776" max="776" width="10.6640625" style="26" customWidth="1"/>
    <col min="777" max="1030" width="9.109375" style="26"/>
    <col min="1031" max="1031" width="9.5546875" style="26" bestFit="1" customWidth="1"/>
    <col min="1032" max="1032" width="10.6640625" style="26" customWidth="1"/>
    <col min="1033" max="1286" width="9.109375" style="26"/>
    <col min="1287" max="1287" width="9.5546875" style="26" bestFit="1" customWidth="1"/>
    <col min="1288" max="1288" width="10.6640625" style="26" customWidth="1"/>
    <col min="1289" max="1542" width="9.109375" style="26"/>
    <col min="1543" max="1543" width="9.5546875" style="26" bestFit="1" customWidth="1"/>
    <col min="1544" max="1544" width="10.6640625" style="26" customWidth="1"/>
    <col min="1545" max="1798" width="9.109375" style="26"/>
    <col min="1799" max="1799" width="9.5546875" style="26" bestFit="1" customWidth="1"/>
    <col min="1800" max="1800" width="10.6640625" style="26" customWidth="1"/>
    <col min="1801" max="2054" width="9.109375" style="26"/>
    <col min="2055" max="2055" width="9.5546875" style="26" bestFit="1" customWidth="1"/>
    <col min="2056" max="2056" width="10.6640625" style="26" customWidth="1"/>
    <col min="2057" max="2310" width="9.109375" style="26"/>
    <col min="2311" max="2311" width="9.5546875" style="26" bestFit="1" customWidth="1"/>
    <col min="2312" max="2312" width="10.6640625" style="26" customWidth="1"/>
    <col min="2313" max="2566" width="9.109375" style="26"/>
    <col min="2567" max="2567" width="9.5546875" style="26" bestFit="1" customWidth="1"/>
    <col min="2568" max="2568" width="10.6640625" style="26" customWidth="1"/>
    <col min="2569" max="2822" width="9.109375" style="26"/>
    <col min="2823" max="2823" width="9.5546875" style="26" bestFit="1" customWidth="1"/>
    <col min="2824" max="2824" width="10.6640625" style="26" customWidth="1"/>
    <col min="2825" max="3078" width="9.109375" style="26"/>
    <col min="3079" max="3079" width="9.5546875" style="26" bestFit="1" customWidth="1"/>
    <col min="3080" max="3080" width="10.6640625" style="26" customWidth="1"/>
    <col min="3081" max="3334" width="9.109375" style="26"/>
    <col min="3335" max="3335" width="9.5546875" style="26" bestFit="1" customWidth="1"/>
    <col min="3336" max="3336" width="10.6640625" style="26" customWidth="1"/>
    <col min="3337" max="3590" width="9.109375" style="26"/>
    <col min="3591" max="3591" width="9.5546875" style="26" bestFit="1" customWidth="1"/>
    <col min="3592" max="3592" width="10.6640625" style="26" customWidth="1"/>
    <col min="3593" max="3846" width="9.109375" style="26"/>
    <col min="3847" max="3847" width="9.5546875" style="26" bestFit="1" customWidth="1"/>
    <col min="3848" max="3848" width="10.6640625" style="26" customWidth="1"/>
    <col min="3849" max="4102" width="9.109375" style="26"/>
    <col min="4103" max="4103" width="9.5546875" style="26" bestFit="1" customWidth="1"/>
    <col min="4104" max="4104" width="10.6640625" style="26" customWidth="1"/>
    <col min="4105" max="4358" width="9.109375" style="26"/>
    <col min="4359" max="4359" width="9.5546875" style="26" bestFit="1" customWidth="1"/>
    <col min="4360" max="4360" width="10.6640625" style="26" customWidth="1"/>
    <col min="4361" max="4614" width="9.109375" style="26"/>
    <col min="4615" max="4615" width="9.5546875" style="26" bestFit="1" customWidth="1"/>
    <col min="4616" max="4616" width="10.6640625" style="26" customWidth="1"/>
    <col min="4617" max="4870" width="9.109375" style="26"/>
    <col min="4871" max="4871" width="9.5546875" style="26" bestFit="1" customWidth="1"/>
    <col min="4872" max="4872" width="10.6640625" style="26" customWidth="1"/>
    <col min="4873" max="5126" width="9.109375" style="26"/>
    <col min="5127" max="5127" width="9.5546875" style="26" bestFit="1" customWidth="1"/>
    <col min="5128" max="5128" width="10.6640625" style="26" customWidth="1"/>
    <col min="5129" max="5382" width="9.109375" style="26"/>
    <col min="5383" max="5383" width="9.5546875" style="26" bestFit="1" customWidth="1"/>
    <col min="5384" max="5384" width="10.6640625" style="26" customWidth="1"/>
    <col min="5385" max="5638" width="9.109375" style="26"/>
    <col min="5639" max="5639" width="9.5546875" style="26" bestFit="1" customWidth="1"/>
    <col min="5640" max="5640" width="10.6640625" style="26" customWidth="1"/>
    <col min="5641" max="5894" width="9.109375" style="26"/>
    <col min="5895" max="5895" width="9.5546875" style="26" bestFit="1" customWidth="1"/>
    <col min="5896" max="5896" width="10.6640625" style="26" customWidth="1"/>
    <col min="5897" max="6150" width="9.109375" style="26"/>
    <col min="6151" max="6151" width="9.5546875" style="26" bestFit="1" customWidth="1"/>
    <col min="6152" max="6152" width="10.6640625" style="26" customWidth="1"/>
    <col min="6153" max="6406" width="9.109375" style="26"/>
    <col min="6407" max="6407" width="9.5546875" style="26" bestFit="1" customWidth="1"/>
    <col min="6408" max="6408" width="10.6640625" style="26" customWidth="1"/>
    <col min="6409" max="6662" width="9.109375" style="26"/>
    <col min="6663" max="6663" width="9.5546875" style="26" bestFit="1" customWidth="1"/>
    <col min="6664" max="6664" width="10.6640625" style="26" customWidth="1"/>
    <col min="6665" max="6918" width="9.109375" style="26"/>
    <col min="6919" max="6919" width="9.5546875" style="26" bestFit="1" customWidth="1"/>
    <col min="6920" max="6920" width="10.6640625" style="26" customWidth="1"/>
    <col min="6921" max="7174" width="9.109375" style="26"/>
    <col min="7175" max="7175" width="9.5546875" style="26" bestFit="1" customWidth="1"/>
    <col min="7176" max="7176" width="10.6640625" style="26" customWidth="1"/>
    <col min="7177" max="7430" width="9.109375" style="26"/>
    <col min="7431" max="7431" width="9.5546875" style="26" bestFit="1" customWidth="1"/>
    <col min="7432" max="7432" width="10.6640625" style="26" customWidth="1"/>
    <col min="7433" max="7686" width="9.109375" style="26"/>
    <col min="7687" max="7687" width="9.5546875" style="26" bestFit="1" customWidth="1"/>
    <col min="7688" max="7688" width="10.6640625" style="26" customWidth="1"/>
    <col min="7689" max="7942" width="9.109375" style="26"/>
    <col min="7943" max="7943" width="9.5546875" style="26" bestFit="1" customWidth="1"/>
    <col min="7944" max="7944" width="10.6640625" style="26" customWidth="1"/>
    <col min="7945" max="8198" width="9.109375" style="26"/>
    <col min="8199" max="8199" width="9.5546875" style="26" bestFit="1" customWidth="1"/>
    <col min="8200" max="8200" width="10.6640625" style="26" customWidth="1"/>
    <col min="8201" max="8454" width="9.109375" style="26"/>
    <col min="8455" max="8455" width="9.5546875" style="26" bestFit="1" customWidth="1"/>
    <col min="8456" max="8456" width="10.6640625" style="26" customWidth="1"/>
    <col min="8457" max="8710" width="9.109375" style="26"/>
    <col min="8711" max="8711" width="9.5546875" style="26" bestFit="1" customWidth="1"/>
    <col min="8712" max="8712" width="10.6640625" style="26" customWidth="1"/>
    <col min="8713" max="8966" width="9.109375" style="26"/>
    <col min="8967" max="8967" width="9.5546875" style="26" bestFit="1" customWidth="1"/>
    <col min="8968" max="8968" width="10.6640625" style="26" customWidth="1"/>
    <col min="8969" max="9222" width="9.109375" style="26"/>
    <col min="9223" max="9223" width="9.5546875" style="26" bestFit="1" customWidth="1"/>
    <col min="9224" max="9224" width="10.6640625" style="26" customWidth="1"/>
    <col min="9225" max="9478" width="9.109375" style="26"/>
    <col min="9479" max="9479" width="9.5546875" style="26" bestFit="1" customWidth="1"/>
    <col min="9480" max="9480" width="10.6640625" style="26" customWidth="1"/>
    <col min="9481" max="9734" width="9.109375" style="26"/>
    <col min="9735" max="9735" width="9.5546875" style="26" bestFit="1" customWidth="1"/>
    <col min="9736" max="9736" width="10.6640625" style="26" customWidth="1"/>
    <col min="9737" max="9990" width="9.109375" style="26"/>
    <col min="9991" max="9991" width="9.5546875" style="26" bestFit="1" customWidth="1"/>
    <col min="9992" max="9992" width="10.6640625" style="26" customWidth="1"/>
    <col min="9993" max="10246" width="9.109375" style="26"/>
    <col min="10247" max="10247" width="9.5546875" style="26" bestFit="1" customWidth="1"/>
    <col min="10248" max="10248" width="10.6640625" style="26" customWidth="1"/>
    <col min="10249" max="10502" width="9.109375" style="26"/>
    <col min="10503" max="10503" width="9.5546875" style="26" bestFit="1" customWidth="1"/>
    <col min="10504" max="10504" width="10.6640625" style="26" customWidth="1"/>
    <col min="10505" max="10758" width="9.109375" style="26"/>
    <col min="10759" max="10759" width="9.5546875" style="26" bestFit="1" customWidth="1"/>
    <col min="10760" max="10760" width="10.6640625" style="26" customWidth="1"/>
    <col min="10761" max="11014" width="9.109375" style="26"/>
    <col min="11015" max="11015" width="9.5546875" style="26" bestFit="1" customWidth="1"/>
    <col min="11016" max="11016" width="10.6640625" style="26" customWidth="1"/>
    <col min="11017" max="11270" width="9.109375" style="26"/>
    <col min="11271" max="11271" width="9.5546875" style="26" bestFit="1" customWidth="1"/>
    <col min="11272" max="11272" width="10.6640625" style="26" customWidth="1"/>
    <col min="11273" max="11526" width="9.109375" style="26"/>
    <col min="11527" max="11527" width="9.5546875" style="26" bestFit="1" customWidth="1"/>
    <col min="11528" max="11528" width="10.6640625" style="26" customWidth="1"/>
    <col min="11529" max="11782" width="9.109375" style="26"/>
    <col min="11783" max="11783" width="9.5546875" style="26" bestFit="1" customWidth="1"/>
    <col min="11784" max="11784" width="10.6640625" style="26" customWidth="1"/>
    <col min="11785" max="12038" width="9.109375" style="26"/>
    <col min="12039" max="12039" width="9.5546875" style="26" bestFit="1" customWidth="1"/>
    <col min="12040" max="12040" width="10.6640625" style="26" customWidth="1"/>
    <col min="12041" max="12294" width="9.109375" style="26"/>
    <col min="12295" max="12295" width="9.5546875" style="26" bestFit="1" customWidth="1"/>
    <col min="12296" max="12296" width="10.6640625" style="26" customWidth="1"/>
    <col min="12297" max="12550" width="9.109375" style="26"/>
    <col min="12551" max="12551" width="9.5546875" style="26" bestFit="1" customWidth="1"/>
    <col min="12552" max="12552" width="10.6640625" style="26" customWidth="1"/>
    <col min="12553" max="12806" width="9.109375" style="26"/>
    <col min="12807" max="12807" width="9.5546875" style="26" bestFit="1" customWidth="1"/>
    <col min="12808" max="12808" width="10.6640625" style="26" customWidth="1"/>
    <col min="12809" max="13062" width="9.109375" style="26"/>
    <col min="13063" max="13063" width="9.5546875" style="26" bestFit="1" customWidth="1"/>
    <col min="13064" max="13064" width="10.6640625" style="26" customWidth="1"/>
    <col min="13065" max="13318" width="9.109375" style="26"/>
    <col min="13319" max="13319" width="9.5546875" style="26" bestFit="1" customWidth="1"/>
    <col min="13320" max="13320" width="10.6640625" style="26" customWidth="1"/>
    <col min="13321" max="13574" width="9.109375" style="26"/>
    <col min="13575" max="13575" width="9.5546875" style="26" bestFit="1" customWidth="1"/>
    <col min="13576" max="13576" width="10.6640625" style="26" customWidth="1"/>
    <col min="13577" max="13830" width="9.109375" style="26"/>
    <col min="13831" max="13831" width="9.5546875" style="26" bestFit="1" customWidth="1"/>
    <col min="13832" max="13832" width="10.6640625" style="26" customWidth="1"/>
    <col min="13833" max="14086" width="9.109375" style="26"/>
    <col min="14087" max="14087" width="9.5546875" style="26" bestFit="1" customWidth="1"/>
    <col min="14088" max="14088" width="10.6640625" style="26" customWidth="1"/>
    <col min="14089" max="14342" width="9.109375" style="26"/>
    <col min="14343" max="14343" width="9.5546875" style="26" bestFit="1" customWidth="1"/>
    <col min="14344" max="14344" width="10.6640625" style="26" customWidth="1"/>
    <col min="14345" max="14598" width="9.109375" style="26"/>
    <col min="14599" max="14599" width="9.5546875" style="26" bestFit="1" customWidth="1"/>
    <col min="14600" max="14600" width="10.6640625" style="26" customWidth="1"/>
    <col min="14601" max="14854" width="9.109375" style="26"/>
    <col min="14855" max="14855" width="9.5546875" style="26" bestFit="1" customWidth="1"/>
    <col min="14856" max="14856" width="10.6640625" style="26" customWidth="1"/>
    <col min="14857" max="15110" width="9.109375" style="26"/>
    <col min="15111" max="15111" width="9.5546875" style="26" bestFit="1" customWidth="1"/>
    <col min="15112" max="15112" width="10.6640625" style="26" customWidth="1"/>
    <col min="15113" max="15366" width="9.109375" style="26"/>
    <col min="15367" max="15367" width="9.5546875" style="26" bestFit="1" customWidth="1"/>
    <col min="15368" max="15368" width="10.6640625" style="26" customWidth="1"/>
    <col min="15369" max="15622" width="9.109375" style="26"/>
    <col min="15623" max="15623" width="9.5546875" style="26" bestFit="1" customWidth="1"/>
    <col min="15624" max="15624" width="10.6640625" style="26" customWidth="1"/>
    <col min="15625" max="15878" width="9.109375" style="26"/>
    <col min="15879" max="15879" width="9.5546875" style="26" bestFit="1" customWidth="1"/>
    <col min="15880" max="15880" width="10.6640625" style="26" customWidth="1"/>
    <col min="15881" max="16134" width="9.109375" style="26"/>
    <col min="16135" max="16135" width="9.5546875" style="26" bestFit="1" customWidth="1"/>
    <col min="16136" max="16136" width="10.6640625" style="26" customWidth="1"/>
    <col min="16137" max="16384" width="9.109375" style="26"/>
  </cols>
  <sheetData>
    <row r="1" spans="1:15" ht="13.8" thickBot="1" x14ac:dyDescent="0.3">
      <c r="A1" s="84" t="s">
        <v>273</v>
      </c>
      <c r="B1" s="275" t="s">
        <v>402</v>
      </c>
      <c r="C1" s="33">
        <f>Drives!BA10</f>
        <v>38490.017945975058</v>
      </c>
      <c r="D1" s="28" t="s">
        <v>7</v>
      </c>
      <c r="E1" s="300">
        <v>5</v>
      </c>
      <c r="F1" s="301">
        <f>MAX(0.1,E1+100/C1)</f>
        <v>5.0025980762113536</v>
      </c>
      <c r="G1" s="36" t="s">
        <v>1</v>
      </c>
      <c r="H1" s="29">
        <f>IF(J1=0,0,H4/J1)</f>
        <v>0</v>
      </c>
      <c r="I1" s="54" t="s">
        <v>94</v>
      </c>
      <c r="J1" s="34">
        <f>Drives!Z10</f>
        <v>0</v>
      </c>
      <c r="K1" s="26" t="s">
        <v>84</v>
      </c>
      <c r="N1" s="254">
        <v>0.96499999999999997</v>
      </c>
      <c r="O1" s="26" t="s">
        <v>176</v>
      </c>
    </row>
    <row r="2" spans="1:15" x14ac:dyDescent="0.25">
      <c r="A2" s="272" t="s">
        <v>88</v>
      </c>
      <c r="B2" s="276">
        <v>10</v>
      </c>
      <c r="D2" s="26">
        <f>C4+1</f>
        <v>7</v>
      </c>
      <c r="E2" s="27">
        <f>F1-C3</f>
        <v>2.5980762113535505E-3</v>
      </c>
      <c r="J2" s="29">
        <f>IF(J1&gt;=0.6, 0.7+(J1-0.6)*0.75, IF(J1&gt;=0.2, 0.3+(J1-0.2)*1, J1*1.5))</f>
        <v>0</v>
      </c>
      <c r="K2" s="26" t="s">
        <v>60</v>
      </c>
    </row>
    <row r="3" spans="1:15" ht="13.8" thickBot="1" x14ac:dyDescent="0.3">
      <c r="A3" s="43" t="s">
        <v>89</v>
      </c>
      <c r="C3" s="41">
        <f>HLOOKUP($F$1,$D$62:$U$113,(B3+1))</f>
        <v>5</v>
      </c>
      <c r="D3" s="41">
        <f>HLOOKUP($D$2,$D$61:$U$113,(B3+2))</f>
        <v>6</v>
      </c>
      <c r="E3" s="26">
        <f>D3-C3</f>
        <v>1</v>
      </c>
      <c r="F3" s="26">
        <f>IF(E3=0,1,E2/E3)</f>
        <v>2.5980762113535505E-3</v>
      </c>
      <c r="G3" s="27">
        <f>C3+(E3*F3)</f>
        <v>5.0025980762113536</v>
      </c>
      <c r="J3" s="31"/>
    </row>
    <row r="4" spans="1:15" ht="13.8" thickBot="1" x14ac:dyDescent="0.3">
      <c r="A4" s="43" t="s">
        <v>90</v>
      </c>
      <c r="B4" s="26">
        <v>1</v>
      </c>
      <c r="C4" s="36">
        <f t="shared" ref="C4:C53" si="0">HLOOKUP($F$1,$D$62:$U$113,(B4+1))</f>
        <v>6</v>
      </c>
      <c r="D4" s="36">
        <f t="shared" ref="D4:D53" si="1">HLOOKUP($D$2,$D$61:$U$113,(B4+2))</f>
        <v>7</v>
      </c>
      <c r="G4" s="27">
        <v>100</v>
      </c>
      <c r="H4" s="34">
        <f>Drives!AR10</f>
        <v>0</v>
      </c>
      <c r="I4" s="26" t="s">
        <v>53</v>
      </c>
    </row>
    <row r="5" spans="1:15" x14ac:dyDescent="0.25">
      <c r="A5" s="31"/>
      <c r="B5" s="26">
        <v>2</v>
      </c>
      <c r="C5" s="52">
        <f t="shared" si="0"/>
        <v>1.0787351058726545E-2</v>
      </c>
      <c r="D5" s="52">
        <f t="shared" si="1"/>
        <v>1.5488830696511377E-2</v>
      </c>
      <c r="E5" s="48">
        <f t="shared" ref="E5:E53" si="2">D5-C5</f>
        <v>4.7014796377848316E-3</v>
      </c>
      <c r="F5" s="48">
        <f t="shared" ref="F5:F53" si="3">E5*$F$3</f>
        <v>1.2214802405091878E-5</v>
      </c>
      <c r="G5" s="48">
        <f t="shared" ref="G5:G53" si="4">C5+F5</f>
        <v>1.0799565861131637E-2</v>
      </c>
      <c r="H5" s="30">
        <f>J$2*G5*$H$1/100</f>
        <v>0</v>
      </c>
    </row>
    <row r="6" spans="1:15" x14ac:dyDescent="0.25">
      <c r="A6" s="270" t="s">
        <v>406</v>
      </c>
      <c r="B6" s="26">
        <v>3</v>
      </c>
      <c r="C6" s="52">
        <f t="shared" si="0"/>
        <v>7.7608557639223745</v>
      </c>
      <c r="D6" s="52">
        <f t="shared" si="1"/>
        <v>5.1365577880102951</v>
      </c>
      <c r="E6" s="48">
        <f t="shared" si="2"/>
        <v>-2.6242979759120795</v>
      </c>
      <c r="F6" s="48">
        <f t="shared" si="3"/>
        <v>-6.8181261427204464E-3</v>
      </c>
      <c r="G6" s="48">
        <f t="shared" si="4"/>
        <v>7.7540376377796543</v>
      </c>
      <c r="H6" s="30">
        <f t="shared" ref="H6:H53" si="5">J$2*G6*$H$1/100</f>
        <v>0</v>
      </c>
    </row>
    <row r="7" spans="1:15" x14ac:dyDescent="0.25">
      <c r="A7" s="270" t="s">
        <v>92</v>
      </c>
      <c r="B7" s="26">
        <v>4</v>
      </c>
      <c r="C7" s="52">
        <f t="shared" si="0"/>
        <v>1.8916758051922035E-2</v>
      </c>
      <c r="D7" s="52">
        <f t="shared" si="1"/>
        <v>2.4591818946340816E-2</v>
      </c>
      <c r="E7" s="48">
        <f t="shared" si="2"/>
        <v>5.6750608944187812E-3</v>
      </c>
      <c r="F7" s="48">
        <f t="shared" si="3"/>
        <v>1.4744240707772238E-5</v>
      </c>
      <c r="G7" s="48">
        <f t="shared" si="4"/>
        <v>1.8931502292629809E-2</v>
      </c>
      <c r="H7" s="30">
        <f t="shared" si="5"/>
        <v>0</v>
      </c>
    </row>
    <row r="8" spans="1:15" x14ac:dyDescent="0.25">
      <c r="A8" s="50"/>
      <c r="B8" s="26">
        <v>5</v>
      </c>
      <c r="C8" s="52">
        <f t="shared" si="0"/>
        <v>37.27946499417164</v>
      </c>
      <c r="D8" s="52">
        <f t="shared" si="1"/>
        <v>34.240442443062605</v>
      </c>
      <c r="E8" s="48">
        <f t="shared" si="2"/>
        <v>-3.039022551109035</v>
      </c>
      <c r="F8" s="48">
        <f t="shared" si="3"/>
        <v>-7.8956121958033629E-3</v>
      </c>
      <c r="G8" s="48">
        <f t="shared" si="4"/>
        <v>37.271569381975837</v>
      </c>
      <c r="H8" s="30">
        <f t="shared" si="5"/>
        <v>0</v>
      </c>
    </row>
    <row r="9" spans="1:15" x14ac:dyDescent="0.25">
      <c r="A9" s="50"/>
      <c r="B9" s="26">
        <v>6</v>
      </c>
      <c r="C9" s="52">
        <f t="shared" si="0"/>
        <v>6.7285132893848583E-3</v>
      </c>
      <c r="D9" s="52">
        <f t="shared" si="1"/>
        <v>4.5194792975590103E-3</v>
      </c>
      <c r="E9" s="48">
        <f t="shared" si="2"/>
        <v>-2.209033991825848E-3</v>
      </c>
      <c r="F9" s="48">
        <f t="shared" si="3"/>
        <v>-5.7392386642341094E-6</v>
      </c>
      <c r="G9" s="48">
        <f t="shared" si="4"/>
        <v>6.7227740507206238E-3</v>
      </c>
      <c r="H9" s="30">
        <f t="shared" si="5"/>
        <v>0</v>
      </c>
    </row>
    <row r="10" spans="1:15" x14ac:dyDescent="0.25">
      <c r="B10" s="26">
        <v>7</v>
      </c>
      <c r="C10" s="52">
        <f t="shared" si="0"/>
        <v>10.407370469722119</v>
      </c>
      <c r="D10" s="52">
        <f t="shared" si="1"/>
        <v>8.4234250472584673</v>
      </c>
      <c r="E10" s="48">
        <f t="shared" si="2"/>
        <v>-1.9839454224636519</v>
      </c>
      <c r="F10" s="48">
        <f t="shared" si="3"/>
        <v>-5.1544414067265839E-3</v>
      </c>
      <c r="G10" s="48">
        <f t="shared" si="4"/>
        <v>10.402216028315392</v>
      </c>
      <c r="H10" s="30">
        <f t="shared" si="5"/>
        <v>0</v>
      </c>
    </row>
    <row r="11" spans="1:15" x14ac:dyDescent="0.25">
      <c r="B11" s="26">
        <v>8</v>
      </c>
      <c r="C11" s="52">
        <f t="shared" si="0"/>
        <v>1.9603945043945102E-2</v>
      </c>
      <c r="D11" s="52">
        <f t="shared" si="1"/>
        <v>1.2636657164619786E-2</v>
      </c>
      <c r="E11" s="48">
        <f t="shared" si="2"/>
        <v>-6.9672878793253165E-3</v>
      </c>
      <c r="F11" s="48">
        <f t="shared" si="3"/>
        <v>-1.8101544896927033E-5</v>
      </c>
      <c r="G11" s="48">
        <f t="shared" si="4"/>
        <v>1.9585843499048176E-2</v>
      </c>
      <c r="H11" s="30">
        <f t="shared" si="5"/>
        <v>0</v>
      </c>
    </row>
    <row r="12" spans="1:15" x14ac:dyDescent="0.25">
      <c r="B12" s="26">
        <v>9</v>
      </c>
      <c r="C12" s="52">
        <f t="shared" si="0"/>
        <v>1.5532650518305111</v>
      </c>
      <c r="D12" s="52">
        <f t="shared" si="1"/>
        <v>0.98716445545758624</v>
      </c>
      <c r="E12" s="48">
        <f t="shared" si="2"/>
        <v>-0.56610059637292487</v>
      </c>
      <c r="F12" s="48">
        <f t="shared" si="3"/>
        <v>-1.4707724926695542E-3</v>
      </c>
      <c r="G12" s="48">
        <f t="shared" si="4"/>
        <v>1.5517942793378416</v>
      </c>
      <c r="H12" s="30">
        <f t="shared" si="5"/>
        <v>0</v>
      </c>
    </row>
    <row r="13" spans="1:15" x14ac:dyDescent="0.25">
      <c r="B13" s="26">
        <v>10</v>
      </c>
      <c r="C13" s="52">
        <f t="shared" si="0"/>
        <v>1.2351163020258928E-2</v>
      </c>
      <c r="D13" s="52">
        <f t="shared" si="1"/>
        <v>7.8770677291336265E-3</v>
      </c>
      <c r="E13" s="48">
        <f t="shared" si="2"/>
        <v>-4.4740952911253018E-3</v>
      </c>
      <c r="F13" s="48">
        <f t="shared" si="3"/>
        <v>-1.1624040543201584E-5</v>
      </c>
      <c r="G13" s="48">
        <f t="shared" si="4"/>
        <v>1.2339538979715728E-2</v>
      </c>
      <c r="H13" s="30">
        <f t="shared" si="5"/>
        <v>0</v>
      </c>
    </row>
    <row r="14" spans="1:15" x14ac:dyDescent="0.25">
      <c r="B14" s="26">
        <v>11</v>
      </c>
      <c r="C14" s="52">
        <f t="shared" si="0"/>
        <v>6.9055670232180777</v>
      </c>
      <c r="D14" s="52">
        <f t="shared" si="1"/>
        <v>6.5341193000171698</v>
      </c>
      <c r="E14" s="48">
        <f t="shared" si="2"/>
        <v>-0.37144772320090791</v>
      </c>
      <c r="F14" s="48">
        <f t="shared" si="3"/>
        <v>-9.6504949340971711E-4</v>
      </c>
      <c r="G14" s="48">
        <f t="shared" si="4"/>
        <v>6.9046019737246676</v>
      </c>
      <c r="H14" s="30">
        <f t="shared" si="5"/>
        <v>0</v>
      </c>
    </row>
    <row r="15" spans="1:15" x14ac:dyDescent="0.25">
      <c r="B15" s="26">
        <v>12</v>
      </c>
      <c r="C15" s="52">
        <f t="shared" si="0"/>
        <v>4.6340307760456886E-3</v>
      </c>
      <c r="D15" s="52">
        <f t="shared" si="1"/>
        <v>1.2658928420938899E-3</v>
      </c>
      <c r="E15" s="48">
        <f t="shared" si="2"/>
        <v>-3.3681379339517989E-3</v>
      </c>
      <c r="F15" s="48">
        <f t="shared" si="3"/>
        <v>-8.7506790427576641E-6</v>
      </c>
      <c r="G15" s="48">
        <f t="shared" si="4"/>
        <v>4.6252800970029307E-3</v>
      </c>
      <c r="H15" s="30">
        <f t="shared" si="5"/>
        <v>0</v>
      </c>
    </row>
    <row r="16" spans="1:15" x14ac:dyDescent="0.25">
      <c r="B16" s="26">
        <v>13</v>
      </c>
      <c r="C16" s="52">
        <f t="shared" si="0"/>
        <v>3.2687886565984781</v>
      </c>
      <c r="D16" s="52">
        <f t="shared" si="1"/>
        <v>3.1927019928471165</v>
      </c>
      <c r="E16" s="48">
        <f t="shared" si="2"/>
        <v>-7.6086663751361527E-2</v>
      </c>
      <c r="F16" s="48">
        <f t="shared" si="3"/>
        <v>-1.9767895109366887E-4</v>
      </c>
      <c r="G16" s="48">
        <f t="shared" si="4"/>
        <v>3.2685909776473845</v>
      </c>
      <c r="H16" s="30">
        <f t="shared" si="5"/>
        <v>0</v>
      </c>
    </row>
    <row r="17" spans="2:8" x14ac:dyDescent="0.25">
      <c r="B17" s="26">
        <v>14</v>
      </c>
      <c r="C17" s="52">
        <f t="shared" si="0"/>
        <v>1.3986444352451872E-2</v>
      </c>
      <c r="D17" s="52">
        <f t="shared" si="1"/>
        <v>1.3726550136797936E-2</v>
      </c>
      <c r="E17" s="48">
        <f t="shared" si="2"/>
        <v>-2.5989421565393578E-4</v>
      </c>
      <c r="F17" s="48">
        <f t="shared" si="3"/>
        <v>-6.7522497915888008E-7</v>
      </c>
      <c r="G17" s="48">
        <f t="shared" si="4"/>
        <v>1.3985769127472713E-2</v>
      </c>
      <c r="H17" s="30">
        <f t="shared" si="5"/>
        <v>0</v>
      </c>
    </row>
    <row r="18" spans="2:8" x14ac:dyDescent="0.25">
      <c r="B18" s="26">
        <v>15</v>
      </c>
      <c r="C18" s="52">
        <f t="shared" si="0"/>
        <v>0.7739736036483279</v>
      </c>
      <c r="D18" s="52">
        <f t="shared" si="1"/>
        <v>0.47689818111624066</v>
      </c>
      <c r="E18" s="48">
        <f t="shared" si="2"/>
        <v>-0.29707542253208724</v>
      </c>
      <c r="F18" s="48">
        <f t="shared" si="3"/>
        <v>-7.7182458825842044E-4</v>
      </c>
      <c r="G18" s="48">
        <f t="shared" si="4"/>
        <v>0.77320177906006948</v>
      </c>
      <c r="H18" s="30">
        <f t="shared" si="5"/>
        <v>0</v>
      </c>
    </row>
    <row r="19" spans="2:8" x14ac:dyDescent="0.25">
      <c r="B19" s="26">
        <v>16</v>
      </c>
      <c r="C19" s="52">
        <f t="shared" si="0"/>
        <v>9.3355107602731344E-3</v>
      </c>
      <c r="D19" s="52">
        <f t="shared" si="1"/>
        <v>1.1176506405604431E-2</v>
      </c>
      <c r="E19" s="48">
        <f t="shared" si="2"/>
        <v>1.8409956453312969E-3</v>
      </c>
      <c r="F19" s="48">
        <f t="shared" si="3"/>
        <v>4.7830469913407204E-6</v>
      </c>
      <c r="G19" s="48">
        <f t="shared" si="4"/>
        <v>9.3402938072644753E-3</v>
      </c>
      <c r="H19" s="30">
        <f t="shared" si="5"/>
        <v>0</v>
      </c>
    </row>
    <row r="20" spans="2:8" x14ac:dyDescent="0.25">
      <c r="B20" s="26">
        <v>17</v>
      </c>
      <c r="C20" s="52">
        <f t="shared" si="0"/>
        <v>2.7954962272937816</v>
      </c>
      <c r="D20" s="52">
        <f t="shared" si="1"/>
        <v>2.4617473384512585</v>
      </c>
      <c r="E20" s="48">
        <f t="shared" si="2"/>
        <v>-0.33374888884252307</v>
      </c>
      <c r="F20" s="48">
        <f t="shared" si="3"/>
        <v>-8.6710504866743961E-4</v>
      </c>
      <c r="G20" s="48">
        <f t="shared" si="4"/>
        <v>2.7946291222451141</v>
      </c>
      <c r="H20" s="30">
        <f t="shared" si="5"/>
        <v>0</v>
      </c>
    </row>
    <row r="21" spans="2:8" x14ac:dyDescent="0.25">
      <c r="B21" s="26">
        <v>18</v>
      </c>
      <c r="C21" s="52">
        <f t="shared" si="0"/>
        <v>3.2624660891922676E-3</v>
      </c>
      <c r="D21" s="52">
        <f t="shared" si="1"/>
        <v>9.7248963017647263E-4</v>
      </c>
      <c r="E21" s="48">
        <f t="shared" si="2"/>
        <v>-2.289976459015795E-3</v>
      </c>
      <c r="F21" s="48">
        <f t="shared" si="3"/>
        <v>-5.9495333627285755E-6</v>
      </c>
      <c r="G21" s="48">
        <f t="shared" si="4"/>
        <v>3.2565165558295392E-3</v>
      </c>
      <c r="H21" s="30">
        <f t="shared" si="5"/>
        <v>0</v>
      </c>
    </row>
    <row r="22" spans="2:8" x14ac:dyDescent="0.25">
      <c r="B22" s="26">
        <v>19</v>
      </c>
      <c r="C22" s="52">
        <f t="shared" si="0"/>
        <v>1.8152549557696753</v>
      </c>
      <c r="D22" s="52">
        <f t="shared" si="1"/>
        <v>1.7533389509717254</v>
      </c>
      <c r="E22" s="48">
        <f t="shared" si="2"/>
        <v>-6.1916004797949897E-2</v>
      </c>
      <c r="F22" s="48">
        <f t="shared" si="3"/>
        <v>-1.6086249916760594E-4</v>
      </c>
      <c r="G22" s="48">
        <f t="shared" si="4"/>
        <v>1.8150940932705077</v>
      </c>
      <c r="H22" s="30">
        <f t="shared" si="5"/>
        <v>0</v>
      </c>
    </row>
    <row r="23" spans="2:8" x14ac:dyDescent="0.25">
      <c r="B23" s="26">
        <v>20</v>
      </c>
      <c r="C23" s="52">
        <f t="shared" si="0"/>
        <v>1.1519216055600136E-2</v>
      </c>
      <c r="D23" s="52">
        <f t="shared" si="1"/>
        <v>1.2482583619361326E-2</v>
      </c>
      <c r="E23" s="48">
        <f t="shared" si="2"/>
        <v>9.633675637611902E-4</v>
      </c>
      <c r="F23" s="48">
        <f t="shared" si="3"/>
        <v>2.502902350197573E-6</v>
      </c>
      <c r="G23" s="48">
        <f t="shared" si="4"/>
        <v>1.1521718957950334E-2</v>
      </c>
      <c r="H23" s="30">
        <f t="shared" si="5"/>
        <v>0</v>
      </c>
    </row>
    <row r="24" spans="2:8" x14ac:dyDescent="0.25">
      <c r="B24" s="26">
        <v>21</v>
      </c>
      <c r="C24" s="52">
        <f t="shared" si="0"/>
        <v>0.51232861946084751</v>
      </c>
      <c r="D24" s="52">
        <f t="shared" si="1"/>
        <v>0.33639919482821595</v>
      </c>
      <c r="E24" s="48">
        <f t="shared" si="2"/>
        <v>-0.17592942463263156</v>
      </c>
      <c r="F24" s="48">
        <f t="shared" si="3"/>
        <v>-4.570780530151574E-4</v>
      </c>
      <c r="G24" s="48">
        <f t="shared" si="4"/>
        <v>0.51187154140783231</v>
      </c>
      <c r="H24" s="30">
        <f t="shared" si="5"/>
        <v>0</v>
      </c>
    </row>
    <row r="25" spans="2:8" x14ac:dyDescent="0.25">
      <c r="B25" s="26">
        <v>22</v>
      </c>
      <c r="C25" s="52">
        <f t="shared" si="0"/>
        <v>1.3328297513609087E-2</v>
      </c>
      <c r="D25" s="52">
        <f t="shared" si="1"/>
        <v>9.9334339431091864E-3</v>
      </c>
      <c r="E25" s="48">
        <f t="shared" si="2"/>
        <v>-3.3948635704999005E-3</v>
      </c>
      <c r="F25" s="48">
        <f t="shared" si="3"/>
        <v>-8.8201142833065682E-6</v>
      </c>
      <c r="G25" s="48">
        <f t="shared" si="4"/>
        <v>1.331947739932578E-2</v>
      </c>
      <c r="H25" s="30">
        <f t="shared" si="5"/>
        <v>0</v>
      </c>
    </row>
    <row r="26" spans="2:8" x14ac:dyDescent="0.25">
      <c r="B26" s="26">
        <v>23</v>
      </c>
      <c r="C26" s="52">
        <f t="shared" si="0"/>
        <v>1.3645089433593613</v>
      </c>
      <c r="D26" s="52">
        <f t="shared" si="1"/>
        <v>1.1709027163413299</v>
      </c>
      <c r="E26" s="48">
        <f t="shared" si="2"/>
        <v>-0.19360622701803143</v>
      </c>
      <c r="F26" s="48">
        <f t="shared" si="3"/>
        <v>-5.0300373278546254E-4</v>
      </c>
      <c r="G26" s="48">
        <f t="shared" si="4"/>
        <v>1.3640059396265758</v>
      </c>
      <c r="H26" s="30">
        <f t="shared" si="5"/>
        <v>0</v>
      </c>
    </row>
    <row r="27" spans="2:8" x14ac:dyDescent="0.25">
      <c r="B27" s="26">
        <v>24</v>
      </c>
      <c r="C27" s="52">
        <f t="shared" si="0"/>
        <v>5.8116700278296428E-3</v>
      </c>
      <c r="D27" s="52">
        <f t="shared" si="1"/>
        <v>2.9855222275943743E-3</v>
      </c>
      <c r="E27" s="48">
        <f t="shared" si="2"/>
        <v>-2.8261478002352684E-3</v>
      </c>
      <c r="F27" s="48">
        <f t="shared" si="3"/>
        <v>-7.3425473695604171E-6</v>
      </c>
      <c r="G27" s="48">
        <f t="shared" si="4"/>
        <v>5.8043274804600821E-3</v>
      </c>
      <c r="H27" s="30">
        <f t="shared" si="5"/>
        <v>0</v>
      </c>
    </row>
    <row r="28" spans="2:8" x14ac:dyDescent="0.25">
      <c r="B28" s="26">
        <v>25</v>
      </c>
      <c r="C28" s="52">
        <f t="shared" si="0"/>
        <v>1.0203047520164361</v>
      </c>
      <c r="D28" s="52">
        <f t="shared" si="1"/>
        <v>0.89181945133108653</v>
      </c>
      <c r="E28" s="48">
        <f t="shared" si="2"/>
        <v>-0.12848530068534958</v>
      </c>
      <c r="F28" s="48">
        <f t="shared" si="3"/>
        <v>-3.338146032192148E-4</v>
      </c>
      <c r="G28" s="48">
        <f t="shared" si="4"/>
        <v>1.0199709374132169</v>
      </c>
      <c r="H28" s="30">
        <f t="shared" si="5"/>
        <v>0</v>
      </c>
    </row>
    <row r="29" spans="2:8" x14ac:dyDescent="0.25">
      <c r="B29" s="26">
        <v>26</v>
      </c>
      <c r="C29" s="52">
        <f t="shared" si="0"/>
        <v>1.2261667576280695E-2</v>
      </c>
      <c r="D29" s="52">
        <f t="shared" si="1"/>
        <v>1.1494261330574136E-2</v>
      </c>
      <c r="E29" s="48">
        <f t="shared" si="2"/>
        <v>-7.6740624570655926E-4</v>
      </c>
      <c r="F29" s="48">
        <f t="shared" si="3"/>
        <v>-1.9937799114143494E-6</v>
      </c>
      <c r="G29" s="48">
        <f t="shared" si="4"/>
        <v>1.2259673796369282E-2</v>
      </c>
      <c r="H29" s="30">
        <f t="shared" si="5"/>
        <v>0</v>
      </c>
    </row>
    <row r="30" spans="2:8" x14ac:dyDescent="0.25">
      <c r="B30" s="26">
        <v>27</v>
      </c>
      <c r="C30" s="52">
        <f t="shared" si="0"/>
        <v>0.40809218499146371</v>
      </c>
      <c r="D30" s="52">
        <f t="shared" si="1"/>
        <v>0.28326195110267732</v>
      </c>
      <c r="E30" s="48">
        <f t="shared" si="2"/>
        <v>-0.12483023388878639</v>
      </c>
      <c r="F30" s="48">
        <f t="shared" si="3"/>
        <v>-3.2431846112415571E-4</v>
      </c>
      <c r="G30" s="48">
        <f t="shared" si="4"/>
        <v>0.40776786653033958</v>
      </c>
      <c r="H30" s="30">
        <f t="shared" si="5"/>
        <v>0</v>
      </c>
    </row>
    <row r="31" spans="2:8" x14ac:dyDescent="0.25">
      <c r="B31" s="26">
        <v>28</v>
      </c>
      <c r="C31" s="52">
        <f t="shared" si="0"/>
        <v>1.2556658041302614E-2</v>
      </c>
      <c r="D31" s="52">
        <f t="shared" si="1"/>
        <v>1.0537656791068419E-2</v>
      </c>
      <c r="E31" s="48">
        <f t="shared" si="2"/>
        <v>-2.0190012502341956E-3</v>
      </c>
      <c r="F31" s="48">
        <f t="shared" si="3"/>
        <v>-5.2455191189265407E-6</v>
      </c>
      <c r="G31" s="48">
        <f t="shared" si="4"/>
        <v>1.2551412522183688E-2</v>
      </c>
      <c r="H31" s="30">
        <f t="shared" si="5"/>
        <v>0</v>
      </c>
    </row>
    <row r="32" spans="2:8" x14ac:dyDescent="0.25">
      <c r="B32" s="26">
        <v>29</v>
      </c>
      <c r="C32" s="52">
        <f t="shared" si="0"/>
        <v>0.75870567381450926</v>
      </c>
      <c r="D32" s="52">
        <f t="shared" si="1"/>
        <v>0.75678843679568575</v>
      </c>
      <c r="E32" s="48">
        <f t="shared" si="2"/>
        <v>-1.9172370188235144E-3</v>
      </c>
      <c r="F32" s="48">
        <f t="shared" si="3"/>
        <v>-4.9811278901317719E-6</v>
      </c>
      <c r="G32" s="48">
        <f t="shared" si="4"/>
        <v>0.7587006926866191</v>
      </c>
      <c r="H32" s="30">
        <f t="shared" si="5"/>
        <v>0</v>
      </c>
    </row>
    <row r="33" spans="2:8" x14ac:dyDescent="0.25">
      <c r="B33" s="26">
        <v>30</v>
      </c>
      <c r="C33" s="52">
        <f t="shared" si="0"/>
        <v>4.6053075814346854E-3</v>
      </c>
      <c r="D33" s="52">
        <f t="shared" si="1"/>
        <v>3.6991571943863818E-3</v>
      </c>
      <c r="E33" s="48">
        <f t="shared" si="2"/>
        <v>-9.0615038704830366E-4</v>
      </c>
      <c r="F33" s="48">
        <f t="shared" si="3"/>
        <v>-2.3542477644990103E-6</v>
      </c>
      <c r="G33" s="48">
        <f t="shared" si="4"/>
        <v>4.602953333670186E-3</v>
      </c>
      <c r="H33" s="30">
        <f t="shared" si="5"/>
        <v>0</v>
      </c>
    </row>
    <row r="34" spans="2:8" x14ac:dyDescent="0.25">
      <c r="B34" s="26">
        <v>31</v>
      </c>
      <c r="C34" s="52">
        <f t="shared" si="0"/>
        <v>0.56772740214173922</v>
      </c>
      <c r="D34" s="52">
        <f t="shared" si="1"/>
        <v>0.46221863452787271</v>
      </c>
      <c r="E34" s="48">
        <f t="shared" si="2"/>
        <v>-0.10550876761386652</v>
      </c>
      <c r="F34" s="48">
        <f t="shared" si="3"/>
        <v>-2.7411981922681651E-4</v>
      </c>
      <c r="G34" s="48">
        <f t="shared" si="4"/>
        <v>0.56745328232251235</v>
      </c>
      <c r="H34" s="30">
        <f t="shared" si="5"/>
        <v>0</v>
      </c>
    </row>
    <row r="35" spans="2:8" x14ac:dyDescent="0.25">
      <c r="B35" s="26">
        <v>32</v>
      </c>
      <c r="C35" s="52">
        <f t="shared" si="0"/>
        <v>8.8970610246392086E-3</v>
      </c>
      <c r="D35" s="52">
        <f t="shared" si="1"/>
        <v>1.1901375104307985E-2</v>
      </c>
      <c r="E35" s="48">
        <f t="shared" si="2"/>
        <v>3.004314079668776E-3</v>
      </c>
      <c r="F35" s="48">
        <f t="shared" si="3"/>
        <v>7.8054369418219819E-6</v>
      </c>
      <c r="G35" s="48">
        <f t="shared" si="4"/>
        <v>8.9048664615810312E-3</v>
      </c>
      <c r="H35" s="30">
        <f t="shared" si="5"/>
        <v>0</v>
      </c>
    </row>
    <row r="36" spans="2:8" x14ac:dyDescent="0.25">
      <c r="B36" s="26">
        <v>33</v>
      </c>
      <c r="C36" s="52">
        <f t="shared" si="0"/>
        <v>0.34165566585023771</v>
      </c>
      <c r="D36" s="52">
        <f t="shared" si="1"/>
        <v>0.22742267911109676</v>
      </c>
      <c r="E36" s="48">
        <f t="shared" si="2"/>
        <v>-0.11423298673914095</v>
      </c>
      <c r="F36" s="48">
        <f t="shared" si="3"/>
        <v>-2.9678600539882771E-4</v>
      </c>
      <c r="G36" s="48">
        <f t="shared" si="4"/>
        <v>0.34135887984483887</v>
      </c>
      <c r="H36" s="30">
        <f t="shared" si="5"/>
        <v>0</v>
      </c>
    </row>
    <row r="37" spans="2:8" x14ac:dyDescent="0.25">
      <c r="B37" s="26">
        <v>34</v>
      </c>
      <c r="C37" s="52">
        <f t="shared" si="0"/>
        <v>0.21861320828195963</v>
      </c>
      <c r="D37" s="52">
        <f t="shared" si="1"/>
        <v>0.14805460867942424</v>
      </c>
      <c r="E37" s="48">
        <f t="shared" si="2"/>
        <v>-7.0558599602535382E-2</v>
      </c>
      <c r="F37" s="48">
        <f t="shared" si="3"/>
        <v>-1.8331661913376725E-4</v>
      </c>
      <c r="G37" s="48">
        <f t="shared" si="4"/>
        <v>0.21842989166282586</v>
      </c>
      <c r="H37" s="30">
        <f t="shared" si="5"/>
        <v>0</v>
      </c>
    </row>
    <row r="38" spans="2:8" x14ac:dyDescent="0.25">
      <c r="B38" s="26">
        <v>35</v>
      </c>
      <c r="C38" s="52">
        <f t="shared" si="0"/>
        <v>0.51648077967213191</v>
      </c>
      <c r="D38" s="52">
        <f t="shared" si="1"/>
        <v>0.5658478637815777</v>
      </c>
      <c r="E38" s="48">
        <f t="shared" si="2"/>
        <v>4.9367084109445791E-2</v>
      </c>
      <c r="F38" s="48">
        <f t="shared" si="3"/>
        <v>1.2825944684864099E-4</v>
      </c>
      <c r="G38" s="48">
        <f t="shared" si="4"/>
        <v>0.5166090391189806</v>
      </c>
      <c r="H38" s="30">
        <f t="shared" si="5"/>
        <v>0</v>
      </c>
    </row>
    <row r="39" spans="2:8" x14ac:dyDescent="0.25">
      <c r="B39" s="26">
        <v>36</v>
      </c>
      <c r="C39" s="52">
        <f t="shared" si="0"/>
        <v>0.21861320828195963</v>
      </c>
      <c r="D39" s="52">
        <f t="shared" si="1"/>
        <v>0.14805460867942424</v>
      </c>
      <c r="E39" s="48">
        <f t="shared" si="2"/>
        <v>-7.0558599602535382E-2</v>
      </c>
      <c r="F39" s="48">
        <f t="shared" si="3"/>
        <v>-1.8331661913376725E-4</v>
      </c>
      <c r="G39" s="48">
        <f t="shared" si="4"/>
        <v>0.21842989166282586</v>
      </c>
      <c r="H39" s="30">
        <f t="shared" si="5"/>
        <v>0</v>
      </c>
    </row>
    <row r="40" spans="2:8" x14ac:dyDescent="0.25">
      <c r="B40" s="26">
        <v>37</v>
      </c>
      <c r="C40" s="52">
        <f t="shared" si="0"/>
        <v>0.34192356461046053</v>
      </c>
      <c r="D40" s="52">
        <f t="shared" si="1"/>
        <v>0.32136315457507253</v>
      </c>
      <c r="E40" s="48">
        <f t="shared" si="2"/>
        <v>-2.0560410035387999E-2</v>
      </c>
      <c r="F40" s="48">
        <f t="shared" si="3"/>
        <v>-5.3417512208616369E-5</v>
      </c>
      <c r="G40" s="48">
        <f t="shared" si="4"/>
        <v>0.34187014709825192</v>
      </c>
      <c r="H40" s="30">
        <f t="shared" si="5"/>
        <v>0</v>
      </c>
    </row>
    <row r="41" spans="2:8" x14ac:dyDescent="0.25">
      <c r="B41" s="26">
        <v>38</v>
      </c>
      <c r="C41" s="52">
        <f t="shared" si="0"/>
        <v>0.21861320828195963</v>
      </c>
      <c r="D41" s="52">
        <f t="shared" si="1"/>
        <v>0.14805460867942424</v>
      </c>
      <c r="E41" s="48">
        <f t="shared" si="2"/>
        <v>-7.0558599602535382E-2</v>
      </c>
      <c r="F41" s="48">
        <f t="shared" si="3"/>
        <v>-1.8331661913376725E-4</v>
      </c>
      <c r="G41" s="48">
        <f t="shared" si="4"/>
        <v>0.21842989166282586</v>
      </c>
      <c r="H41" s="30">
        <f t="shared" si="5"/>
        <v>0</v>
      </c>
    </row>
    <row r="42" spans="2:8" x14ac:dyDescent="0.25">
      <c r="B42" s="26">
        <v>39</v>
      </c>
      <c r="C42" s="52">
        <f t="shared" si="0"/>
        <v>0.27640701454444089</v>
      </c>
      <c r="D42" s="52">
        <f t="shared" si="1"/>
        <v>0.17818419975534588</v>
      </c>
      <c r="E42" s="48">
        <f t="shared" si="2"/>
        <v>-9.8222814789095003E-2</v>
      </c>
      <c r="F42" s="48">
        <f t="shared" si="3"/>
        <v>-2.5519035851573346E-4</v>
      </c>
      <c r="G42" s="48">
        <f t="shared" si="4"/>
        <v>0.27615182418592515</v>
      </c>
      <c r="H42" s="30">
        <f t="shared" si="5"/>
        <v>0</v>
      </c>
    </row>
    <row r="43" spans="2:8" x14ac:dyDescent="0.25">
      <c r="B43" s="26">
        <v>40</v>
      </c>
      <c r="C43" s="52">
        <f t="shared" si="0"/>
        <v>0.21861320828195963</v>
      </c>
      <c r="D43" s="52">
        <f t="shared" si="1"/>
        <v>0.14805460867942424</v>
      </c>
      <c r="E43" s="48">
        <f t="shared" si="2"/>
        <v>-7.0558599602535382E-2</v>
      </c>
      <c r="F43" s="48">
        <f t="shared" si="3"/>
        <v>-1.8331661913376725E-4</v>
      </c>
      <c r="G43" s="48">
        <f t="shared" si="4"/>
        <v>0.21842989166282586</v>
      </c>
      <c r="H43" s="30">
        <f t="shared" si="5"/>
        <v>0</v>
      </c>
    </row>
    <row r="44" spans="2:8" x14ac:dyDescent="0.25">
      <c r="B44" s="26">
        <v>41</v>
      </c>
      <c r="C44" s="52">
        <f t="shared" si="0"/>
        <v>0.39951328972932304</v>
      </c>
      <c r="D44" s="52">
        <f t="shared" si="1"/>
        <v>0.41594580564321404</v>
      </c>
      <c r="E44" s="48">
        <f t="shared" si="2"/>
        <v>1.6432515913890999E-2</v>
      </c>
      <c r="F44" s="48">
        <f t="shared" si="3"/>
        <v>4.2692928688568854E-5</v>
      </c>
      <c r="G44" s="48">
        <f t="shared" si="4"/>
        <v>0.39955598265801162</v>
      </c>
      <c r="H44" s="30">
        <f t="shared" si="5"/>
        <v>0</v>
      </c>
    </row>
    <row r="45" spans="2:8" x14ac:dyDescent="0.25">
      <c r="B45" s="26">
        <v>42</v>
      </c>
      <c r="C45" s="52">
        <f t="shared" si="0"/>
        <v>0.21861320828195963</v>
      </c>
      <c r="D45" s="52">
        <f t="shared" si="1"/>
        <v>0.14805460867942424</v>
      </c>
      <c r="E45" s="48">
        <f t="shared" si="2"/>
        <v>-7.0558599602535382E-2</v>
      </c>
      <c r="F45" s="48">
        <f t="shared" si="3"/>
        <v>-1.8331661913376725E-4</v>
      </c>
      <c r="G45" s="48">
        <f t="shared" si="4"/>
        <v>0.21842989166282586</v>
      </c>
      <c r="H45" s="30">
        <f t="shared" si="5"/>
        <v>0</v>
      </c>
    </row>
    <row r="46" spans="2:8" x14ac:dyDescent="0.25">
      <c r="B46" s="26">
        <v>43</v>
      </c>
      <c r="C46" s="52">
        <f t="shared" si="0"/>
        <v>0.25538951981730396</v>
      </c>
      <c r="D46" s="52">
        <f t="shared" si="1"/>
        <v>0.24818871965708805</v>
      </c>
      <c r="E46" s="48">
        <f t="shared" si="2"/>
        <v>-7.2008001602159033E-3</v>
      </c>
      <c r="F46" s="48">
        <f t="shared" si="3"/>
        <v>-1.8708227598967774E-5</v>
      </c>
      <c r="G46" s="48">
        <f t="shared" si="4"/>
        <v>0.25537081158970498</v>
      </c>
      <c r="H46" s="30">
        <f t="shared" si="5"/>
        <v>0</v>
      </c>
    </row>
    <row r="47" spans="2:8" x14ac:dyDescent="0.25">
      <c r="B47" s="26">
        <v>44</v>
      </c>
      <c r="C47" s="52">
        <f t="shared" si="0"/>
        <v>0.21861320828195963</v>
      </c>
      <c r="D47" s="52">
        <f t="shared" si="1"/>
        <v>0.14805460867942424</v>
      </c>
      <c r="E47" s="48">
        <f t="shared" si="2"/>
        <v>-7.0558599602535382E-2</v>
      </c>
      <c r="F47" s="48">
        <f t="shared" si="3"/>
        <v>-1.8331661913376725E-4</v>
      </c>
      <c r="G47" s="48">
        <f t="shared" si="4"/>
        <v>0.21842989166282586</v>
      </c>
      <c r="H47" s="30">
        <f t="shared" si="5"/>
        <v>0</v>
      </c>
    </row>
    <row r="48" spans="2:8" x14ac:dyDescent="0.25">
      <c r="B48" s="26">
        <v>45</v>
      </c>
      <c r="C48" s="52">
        <f t="shared" si="0"/>
        <v>0.21866515563030009</v>
      </c>
      <c r="D48" s="52">
        <f t="shared" si="1"/>
        <v>0.14808361462956454</v>
      </c>
      <c r="E48" s="48">
        <f t="shared" si="2"/>
        <v>-7.0581541000735548E-2</v>
      </c>
      <c r="F48" s="48">
        <f t="shared" si="3"/>
        <v>-1.8337622263468631E-4</v>
      </c>
      <c r="G48" s="48">
        <f t="shared" si="4"/>
        <v>0.21848177940766542</v>
      </c>
      <c r="H48" s="30">
        <f t="shared" si="5"/>
        <v>0</v>
      </c>
    </row>
    <row r="49" spans="1:21" x14ac:dyDescent="0.25">
      <c r="B49" s="26">
        <v>46</v>
      </c>
      <c r="C49" s="52">
        <f t="shared" si="0"/>
        <v>0.21861320828195963</v>
      </c>
      <c r="D49" s="52">
        <f t="shared" si="1"/>
        <v>0.14805460867942424</v>
      </c>
      <c r="E49" s="48">
        <f t="shared" si="2"/>
        <v>-7.0558599602535382E-2</v>
      </c>
      <c r="F49" s="48">
        <f t="shared" si="3"/>
        <v>-1.8331661913376725E-4</v>
      </c>
      <c r="G49" s="48">
        <f t="shared" si="4"/>
        <v>0.21842989166282586</v>
      </c>
      <c r="H49" s="30">
        <f t="shared" si="5"/>
        <v>0</v>
      </c>
    </row>
    <row r="50" spans="1:21" x14ac:dyDescent="0.25">
      <c r="B50" s="26">
        <v>47</v>
      </c>
      <c r="C50" s="52">
        <f t="shared" si="0"/>
        <v>0.2940568330031525</v>
      </c>
      <c r="D50" s="52">
        <f t="shared" si="1"/>
        <v>0.2786885915405366</v>
      </c>
      <c r="E50" s="48">
        <f t="shared" si="2"/>
        <v>-1.5368241462615895E-2</v>
      </c>
      <c r="F50" s="48">
        <f t="shared" si="3"/>
        <v>-3.9927862554359649E-5</v>
      </c>
      <c r="G50" s="48">
        <f t="shared" si="4"/>
        <v>0.29401690514059814</v>
      </c>
      <c r="H50" s="30">
        <f t="shared" si="5"/>
        <v>0</v>
      </c>
    </row>
    <row r="51" spans="1:21" x14ac:dyDescent="0.25">
      <c r="B51" s="26">
        <v>48</v>
      </c>
      <c r="C51" s="52">
        <f t="shared" si="0"/>
        <v>0.21861320828195963</v>
      </c>
      <c r="D51" s="52">
        <f t="shared" si="1"/>
        <v>0.14805460867942424</v>
      </c>
      <c r="E51" s="48">
        <f t="shared" si="2"/>
        <v>-7.0558599602535382E-2</v>
      </c>
      <c r="F51" s="48">
        <f t="shared" si="3"/>
        <v>-1.8331661913376725E-4</v>
      </c>
      <c r="G51" s="48">
        <f t="shared" si="4"/>
        <v>0.21842989166282586</v>
      </c>
      <c r="H51" s="30">
        <f t="shared" si="5"/>
        <v>0</v>
      </c>
    </row>
    <row r="52" spans="1:21" x14ac:dyDescent="0.25">
      <c r="B52" s="26">
        <v>49</v>
      </c>
      <c r="C52" s="52">
        <f t="shared" si="0"/>
        <v>0.19635848943192444</v>
      </c>
      <c r="D52" s="52">
        <f t="shared" si="1"/>
        <v>0.18022284651166184</v>
      </c>
      <c r="E52" s="48">
        <f t="shared" si="2"/>
        <v>-1.6135642920262594E-2</v>
      </c>
      <c r="F52" s="48">
        <f t="shared" si="3"/>
        <v>-4.1921630026029577E-5</v>
      </c>
      <c r="G52" s="48">
        <f t="shared" si="4"/>
        <v>0.19631656780189841</v>
      </c>
      <c r="H52" s="30">
        <f t="shared" si="5"/>
        <v>0</v>
      </c>
    </row>
    <row r="53" spans="1:21" x14ac:dyDescent="0.25">
      <c r="B53" s="26">
        <v>50</v>
      </c>
      <c r="C53" s="52">
        <f t="shared" si="0"/>
        <v>0.21861320828195963</v>
      </c>
      <c r="D53" s="52">
        <f t="shared" si="1"/>
        <v>0.14805460867942424</v>
      </c>
      <c r="E53" s="48">
        <f t="shared" si="2"/>
        <v>-7.0558599602535382E-2</v>
      </c>
      <c r="F53" s="48">
        <f t="shared" si="3"/>
        <v>-1.8331661913376725E-4</v>
      </c>
      <c r="G53" s="48">
        <f t="shared" si="4"/>
        <v>0.21842989166282586</v>
      </c>
      <c r="H53" s="30">
        <f t="shared" si="5"/>
        <v>0</v>
      </c>
    </row>
    <row r="54" spans="1:21" x14ac:dyDescent="0.25">
      <c r="E54" s="32"/>
      <c r="F54" s="32"/>
    </row>
    <row r="55" spans="1:21" x14ac:dyDescent="0.25">
      <c r="F55" s="26" t="s">
        <v>85</v>
      </c>
      <c r="G55" s="29">
        <f>IF(H4=0,0,100*H55/H4)</f>
        <v>0</v>
      </c>
      <c r="H55" s="29">
        <f>SQRT(SUMSQ(H5:H53))</f>
        <v>0</v>
      </c>
      <c r="I55" s="26" t="s">
        <v>52</v>
      </c>
    </row>
    <row r="56" spans="1:21" x14ac:dyDescent="0.25">
      <c r="F56" s="26" t="s">
        <v>86</v>
      </c>
      <c r="G56" s="29">
        <f>SQRT(SUMSQ(G4:G53))</f>
        <v>107.86844369732164</v>
      </c>
      <c r="H56" s="29">
        <f>SQRT(SUMSQ(H4:H53))</f>
        <v>0</v>
      </c>
      <c r="I56" s="26" t="s">
        <v>54</v>
      </c>
    </row>
    <row r="57" spans="1:21" x14ac:dyDescent="0.25">
      <c r="G57" s="26" t="s">
        <v>87</v>
      </c>
      <c r="H57" s="26" t="s">
        <v>13</v>
      </c>
    </row>
    <row r="59" spans="1:21" x14ac:dyDescent="0.25">
      <c r="A59" s="25" t="s">
        <v>63</v>
      </c>
      <c r="C59" s="36"/>
      <c r="D59" s="36"/>
      <c r="E59" s="36"/>
      <c r="F59" s="36"/>
      <c r="G59" s="36"/>
      <c r="H59" s="36"/>
      <c r="I59" s="36"/>
      <c r="J59" s="36"/>
      <c r="K59" s="36"/>
      <c r="L59" s="36"/>
      <c r="M59" s="36"/>
      <c r="N59" s="36"/>
      <c r="O59" s="36"/>
      <c r="P59" s="36"/>
      <c r="Q59" s="36"/>
      <c r="R59" s="36"/>
      <c r="S59" s="36"/>
    </row>
    <row r="60" spans="1:21" ht="14.4" x14ac:dyDescent="0.3">
      <c r="C60" s="1" t="s">
        <v>478</v>
      </c>
      <c r="D60" s="7">
        <f>100/D62</f>
        <v>1000</v>
      </c>
      <c r="E60" s="7">
        <f t="shared" ref="E60:U60" si="6">100/E62</f>
        <v>200</v>
      </c>
      <c r="F60" s="7">
        <f t="shared" si="6"/>
        <v>100</v>
      </c>
      <c r="G60" s="7">
        <f t="shared" si="6"/>
        <v>50</v>
      </c>
      <c r="H60" s="7">
        <f t="shared" si="6"/>
        <v>33.333333333333336</v>
      </c>
      <c r="I60" s="7">
        <f t="shared" si="6"/>
        <v>25</v>
      </c>
      <c r="J60" s="7">
        <f t="shared" si="6"/>
        <v>20</v>
      </c>
      <c r="K60" s="7">
        <f t="shared" si="6"/>
        <v>16.666666666666668</v>
      </c>
      <c r="L60" s="7">
        <f t="shared" si="6"/>
        <v>14.285714285714286</v>
      </c>
      <c r="M60" s="7">
        <f t="shared" si="6"/>
        <v>12.5</v>
      </c>
      <c r="N60" s="7">
        <f t="shared" si="6"/>
        <v>10</v>
      </c>
      <c r="O60" s="7">
        <f t="shared" si="6"/>
        <v>8.3333333333333339</v>
      </c>
      <c r="P60" s="7">
        <f t="shared" si="6"/>
        <v>7.1428571428571432</v>
      </c>
      <c r="Q60" s="7">
        <f t="shared" si="6"/>
        <v>5.5555555555555554</v>
      </c>
      <c r="R60" s="7">
        <f t="shared" si="6"/>
        <v>4.7619047619047619</v>
      </c>
      <c r="S60" s="7">
        <f t="shared" si="6"/>
        <v>1</v>
      </c>
      <c r="T60" s="7">
        <f t="shared" si="6"/>
        <v>0.1</v>
      </c>
      <c r="U60" s="7">
        <f t="shared" si="6"/>
        <v>0.01</v>
      </c>
    </row>
    <row r="61" spans="1:21" ht="14.4" x14ac:dyDescent="0.3">
      <c r="C61" s="1" t="s">
        <v>64</v>
      </c>
      <c r="D61">
        <v>0</v>
      </c>
      <c r="E61">
        <v>1</v>
      </c>
      <c r="F61">
        <v>2</v>
      </c>
      <c r="G61">
        <v>3</v>
      </c>
      <c r="H61">
        <v>4</v>
      </c>
      <c r="I61">
        <v>5</v>
      </c>
      <c r="J61">
        <v>6</v>
      </c>
      <c r="K61">
        <v>7</v>
      </c>
      <c r="L61">
        <v>8</v>
      </c>
      <c r="M61">
        <v>9</v>
      </c>
      <c r="N61">
        <v>10</v>
      </c>
      <c r="O61">
        <v>11</v>
      </c>
      <c r="P61">
        <v>12</v>
      </c>
      <c r="Q61">
        <v>13</v>
      </c>
      <c r="R61">
        <v>14</v>
      </c>
      <c r="S61">
        <v>15</v>
      </c>
      <c r="T61">
        <v>16</v>
      </c>
      <c r="U61">
        <v>17</v>
      </c>
    </row>
    <row r="62" spans="1:21" ht="14.4" x14ac:dyDescent="0.3">
      <c r="A62" s="26" t="s">
        <v>65</v>
      </c>
      <c r="B62" s="54"/>
      <c r="C62" s="216" t="s">
        <v>1</v>
      </c>
      <c r="D62" s="296">
        <v>0.1</v>
      </c>
      <c r="E62" s="296">
        <v>0.5</v>
      </c>
      <c r="F62" s="296">
        <v>1</v>
      </c>
      <c r="G62" s="296">
        <v>2</v>
      </c>
      <c r="H62" s="296">
        <v>3</v>
      </c>
      <c r="I62" s="296">
        <v>4</v>
      </c>
      <c r="J62" s="296">
        <v>5</v>
      </c>
      <c r="K62" s="296">
        <v>6</v>
      </c>
      <c r="L62" s="296">
        <v>7</v>
      </c>
      <c r="M62" s="296">
        <v>8</v>
      </c>
      <c r="N62" s="296">
        <v>10</v>
      </c>
      <c r="O62" s="296">
        <v>12</v>
      </c>
      <c r="P62" s="296">
        <v>14</v>
      </c>
      <c r="Q62" s="296">
        <v>18</v>
      </c>
      <c r="R62" s="296">
        <v>21</v>
      </c>
      <c r="S62" s="296">
        <v>100</v>
      </c>
      <c r="T62" s="296">
        <v>1000</v>
      </c>
      <c r="U62" s="296">
        <v>10000</v>
      </c>
    </row>
    <row r="63" spans="1:21" ht="14.4" x14ac:dyDescent="0.3">
      <c r="A63" s="31"/>
      <c r="C63" s="1" t="s">
        <v>64</v>
      </c>
      <c r="D63">
        <v>0</v>
      </c>
      <c r="E63">
        <v>1</v>
      </c>
      <c r="F63">
        <v>2</v>
      </c>
      <c r="G63">
        <v>3</v>
      </c>
      <c r="H63">
        <v>4</v>
      </c>
      <c r="I63">
        <v>5</v>
      </c>
      <c r="J63">
        <v>6</v>
      </c>
      <c r="K63">
        <v>7</v>
      </c>
      <c r="L63">
        <v>8</v>
      </c>
      <c r="M63">
        <v>9</v>
      </c>
      <c r="N63">
        <v>10</v>
      </c>
      <c r="O63">
        <v>11</v>
      </c>
      <c r="P63">
        <v>12</v>
      </c>
      <c r="Q63">
        <v>13</v>
      </c>
      <c r="R63">
        <v>14</v>
      </c>
      <c r="S63">
        <v>15</v>
      </c>
      <c r="T63">
        <v>16</v>
      </c>
      <c r="U63">
        <v>17</v>
      </c>
    </row>
    <row r="64" spans="1:21" ht="14.4" x14ac:dyDescent="0.3">
      <c r="A64" s="43">
        <v>2</v>
      </c>
      <c r="B64" s="43"/>
      <c r="C64" s="1"/>
      <c r="D64" s="298">
        <v>1.7291324964220301E-2</v>
      </c>
      <c r="E64" s="298">
        <v>6.6998018440489568E-2</v>
      </c>
      <c r="F64" s="298">
        <v>0.12416560747379798</v>
      </c>
      <c r="G64" s="298">
        <v>0.19164678959143519</v>
      </c>
      <c r="H64" s="298">
        <v>3.2432337711389723E-2</v>
      </c>
      <c r="I64" s="298">
        <v>2.6794917304969575E-2</v>
      </c>
      <c r="J64" s="298">
        <v>1.0787351058726545E-2</v>
      </c>
      <c r="K64" s="298">
        <v>1.5488830696511377E-2</v>
      </c>
      <c r="L64" s="298">
        <v>1.1120918013740941E-2</v>
      </c>
      <c r="M64" s="298">
        <v>1.2571907703050382E-2</v>
      </c>
      <c r="N64" s="298">
        <v>2.636287592484499E-2</v>
      </c>
      <c r="O64" s="298">
        <v>3.9068771982494086E-3</v>
      </c>
      <c r="P64" s="298">
        <v>1.783236037225493E-2</v>
      </c>
      <c r="Q64" s="298">
        <v>6.5715038062707058E-3</v>
      </c>
      <c r="R64" s="298">
        <v>5.7146036546192576E-3</v>
      </c>
      <c r="S64" s="298">
        <v>5.7146036546192576E-3</v>
      </c>
      <c r="T64" s="298">
        <v>5.7146036546192576E-3</v>
      </c>
      <c r="U64" s="298">
        <v>5.7146036546192576E-3</v>
      </c>
    </row>
    <row r="65" spans="1:21" ht="14.4" x14ac:dyDescent="0.3">
      <c r="A65" s="43">
        <v>3</v>
      </c>
      <c r="B65" s="43"/>
      <c r="C65" s="1"/>
      <c r="D65" s="298">
        <v>0.55385104430828935</v>
      </c>
      <c r="E65" s="298">
        <v>8.5473774716319078</v>
      </c>
      <c r="F65" s="298">
        <v>4.3857615521600959</v>
      </c>
      <c r="G65" s="298">
        <v>4.8916763402676038</v>
      </c>
      <c r="H65" s="298">
        <v>5.107248510230364</v>
      </c>
      <c r="I65" s="298">
        <v>6.2072885442798249</v>
      </c>
      <c r="J65" s="298">
        <v>7.7608557639223745</v>
      </c>
      <c r="K65" s="298">
        <v>5.1365577880102951</v>
      </c>
      <c r="L65" s="298">
        <v>3.7115343236794409</v>
      </c>
      <c r="M65" s="298">
        <v>2.8652501742303245</v>
      </c>
      <c r="N65" s="298">
        <v>1.976424393859703</v>
      </c>
      <c r="O65" s="298">
        <v>1.512989131711088</v>
      </c>
      <c r="P65" s="298">
        <v>1.2479844012146544</v>
      </c>
      <c r="Q65" s="298">
        <v>0.90186138282906037</v>
      </c>
      <c r="R65" s="298">
        <v>0.8611207071065603</v>
      </c>
      <c r="S65" s="298">
        <v>0.8611207071065603</v>
      </c>
      <c r="T65" s="298">
        <v>0.8611207071065603</v>
      </c>
      <c r="U65" s="298">
        <v>0.8611207071065603</v>
      </c>
    </row>
    <row r="66" spans="1:21" ht="14.4" x14ac:dyDescent="0.3">
      <c r="A66" s="43">
        <v>4</v>
      </c>
      <c r="B66" s="43"/>
      <c r="C66" s="1"/>
      <c r="D66" s="298">
        <v>0.13520250276733159</v>
      </c>
      <c r="E66" s="298">
        <v>2.8695360144102396E-2</v>
      </c>
      <c r="F66" s="298">
        <v>0.11237654569855723</v>
      </c>
      <c r="G66" s="298">
        <v>0.1270693443534559</v>
      </c>
      <c r="H66" s="298">
        <v>2.9673650735424224E-2</v>
      </c>
      <c r="I66" s="298">
        <v>2.1212221057019379E-2</v>
      </c>
      <c r="J66" s="298">
        <v>1.8916758051922035E-2</v>
      </c>
      <c r="K66" s="298">
        <v>2.4591818946340816E-2</v>
      </c>
      <c r="L66" s="298">
        <v>2.2309871990685983E-2</v>
      </c>
      <c r="M66" s="298">
        <v>1.4672119245636975E-2</v>
      </c>
      <c r="N66" s="298">
        <v>3.4977738354405041E-3</v>
      </c>
      <c r="O66" s="298">
        <v>3.318391374383355E-3</v>
      </c>
      <c r="P66" s="298">
        <v>1.8380050856337499E-2</v>
      </c>
      <c r="Q66" s="298">
        <v>5.7240454854559945E-3</v>
      </c>
      <c r="R66" s="298">
        <v>1.5847873572736098E-3</v>
      </c>
      <c r="S66" s="298">
        <v>1.5847873572736098E-3</v>
      </c>
      <c r="T66" s="298">
        <v>1.5847873572736098E-3</v>
      </c>
      <c r="U66" s="298">
        <v>1.5847873572736098E-3</v>
      </c>
    </row>
    <row r="67" spans="1:21" ht="14.4" x14ac:dyDescent="0.3">
      <c r="A67" s="43">
        <v>5</v>
      </c>
      <c r="B67" s="43"/>
      <c r="C67" s="1"/>
      <c r="D67" s="298">
        <v>93.368748010282204</v>
      </c>
      <c r="E67" s="298">
        <v>82.87682728374898</v>
      </c>
      <c r="F67" s="298">
        <v>73.247221838386295</v>
      </c>
      <c r="G67" s="298">
        <v>60.831459052554194</v>
      </c>
      <c r="H67" s="298">
        <v>49.382828970020235</v>
      </c>
      <c r="I67" s="298">
        <v>41.72752692184784</v>
      </c>
      <c r="J67" s="298">
        <v>37.27946499417164</v>
      </c>
      <c r="K67" s="298">
        <v>34.240442443062605</v>
      </c>
      <c r="L67" s="298">
        <v>31.801834469310585</v>
      </c>
      <c r="M67" s="298">
        <v>29.833911528390878</v>
      </c>
      <c r="N67" s="298">
        <v>26.829447444032468</v>
      </c>
      <c r="O67" s="298">
        <v>24.524377947577921</v>
      </c>
      <c r="P67" s="298">
        <v>22.666145948519805</v>
      </c>
      <c r="Q67" s="298">
        <v>19.683481307529799</v>
      </c>
      <c r="R67" s="298">
        <v>19.55420880107971</v>
      </c>
      <c r="S67" s="298">
        <v>19.55420880107971</v>
      </c>
      <c r="T67" s="298">
        <v>19.55420880107971</v>
      </c>
      <c r="U67" s="298">
        <v>19.55420880107971</v>
      </c>
    </row>
    <row r="68" spans="1:21" ht="14.4" x14ac:dyDescent="0.3">
      <c r="A68" s="43">
        <v>6</v>
      </c>
      <c r="B68" s="43"/>
      <c r="C68" s="1"/>
      <c r="D68" s="298">
        <v>6.8818496078623531E-2</v>
      </c>
      <c r="E68" s="298">
        <v>5.2936191485114158E-2</v>
      </c>
      <c r="F68" s="298">
        <v>7.0102641631974985E-3</v>
      </c>
      <c r="G68" s="298">
        <v>1.1862351899176933E-2</v>
      </c>
      <c r="H68" s="298">
        <v>1.9222702695116914E-3</v>
      </c>
      <c r="I68" s="298">
        <v>1.1087146410300954E-2</v>
      </c>
      <c r="J68" s="298">
        <v>6.7285132893848583E-3</v>
      </c>
      <c r="K68" s="298">
        <v>4.5194792975590103E-3</v>
      </c>
      <c r="L68" s="298">
        <v>6.0169639857389576E-3</v>
      </c>
      <c r="M68" s="298">
        <v>7.3330327729595772E-3</v>
      </c>
      <c r="N68" s="298">
        <v>4.9368015428742544E-3</v>
      </c>
      <c r="O68" s="298">
        <v>2.1005572354824645E-3</v>
      </c>
      <c r="P68" s="298">
        <v>9.2816222816082712E-3</v>
      </c>
      <c r="Q68" s="298">
        <v>3.8021989595571734E-3</v>
      </c>
      <c r="R68" s="298">
        <v>2.6949365909897677E-3</v>
      </c>
      <c r="S68" s="298">
        <v>2.6949365909897677E-3</v>
      </c>
      <c r="T68" s="298">
        <v>2.6949365909897677E-3</v>
      </c>
      <c r="U68" s="298">
        <v>2.6949365909897677E-3</v>
      </c>
    </row>
    <row r="69" spans="1:21" ht="14.4" x14ac:dyDescent="0.3">
      <c r="A69" s="43">
        <v>7</v>
      </c>
      <c r="B69" s="43"/>
      <c r="C69" s="1"/>
      <c r="D69" s="298">
        <v>85.792929223620419</v>
      </c>
      <c r="E69" s="298">
        <v>65.67536665068971</v>
      </c>
      <c r="F69" s="298">
        <v>52.471101352240538</v>
      </c>
      <c r="G69" s="298">
        <v>34.473926081721721</v>
      </c>
      <c r="H69" s="298">
        <v>20.70483242585701</v>
      </c>
      <c r="I69" s="298">
        <v>13.8859457017344</v>
      </c>
      <c r="J69" s="298">
        <v>10.407370469722119</v>
      </c>
      <c r="K69" s="298">
        <v>8.4234250472584673</v>
      </c>
      <c r="L69" s="298">
        <v>7.3447486655802345</v>
      </c>
      <c r="M69" s="298">
        <v>6.8022663683683335</v>
      </c>
      <c r="N69" s="298">
        <v>6.5166708279323533</v>
      </c>
      <c r="O69" s="298">
        <v>6.6273860488121423</v>
      </c>
      <c r="P69" s="298">
        <v>6.8022403042729351</v>
      </c>
      <c r="Q69" s="298">
        <v>6.987229811341364</v>
      </c>
      <c r="R69" s="298">
        <v>7.326010337515557</v>
      </c>
      <c r="S69" s="298">
        <v>7.326010337515557</v>
      </c>
      <c r="T69" s="298">
        <v>7.326010337515557</v>
      </c>
      <c r="U69" s="298">
        <v>7.326010337515557</v>
      </c>
    </row>
    <row r="70" spans="1:21" ht="14.4" x14ac:dyDescent="0.3">
      <c r="A70" s="43">
        <v>8</v>
      </c>
      <c r="B70" s="43"/>
      <c r="C70" s="1"/>
      <c r="D70" s="298">
        <v>0.15207091572872264</v>
      </c>
      <c r="E70" s="298">
        <v>5.2891824469196221E-2</v>
      </c>
      <c r="F70" s="298">
        <v>5.7040082585237739E-2</v>
      </c>
      <c r="G70" s="298">
        <v>1.9116049168177565E-2</v>
      </c>
      <c r="H70" s="298">
        <v>2.3564987660073828E-2</v>
      </c>
      <c r="I70" s="298">
        <v>8.5355102461392024E-3</v>
      </c>
      <c r="J70" s="298">
        <v>1.9603945043945102E-2</v>
      </c>
      <c r="K70" s="298">
        <v>1.2636657164619786E-2</v>
      </c>
      <c r="L70" s="298">
        <v>1.0643351525778579E-2</v>
      </c>
      <c r="M70" s="298">
        <v>4.3473848598230228E-3</v>
      </c>
      <c r="N70" s="298">
        <v>2.5415807506222721E-3</v>
      </c>
      <c r="O70" s="298">
        <v>1.2216655309818655E-3</v>
      </c>
      <c r="P70" s="298">
        <v>6.4595461603830819E-3</v>
      </c>
      <c r="Q70" s="298">
        <v>1.3983813924981661E-3</v>
      </c>
      <c r="R70" s="298">
        <v>3.4056178014729927E-3</v>
      </c>
      <c r="S70" s="298">
        <v>3.4056178014729927E-3</v>
      </c>
      <c r="T70" s="298">
        <v>3.4056178014729927E-3</v>
      </c>
      <c r="U70" s="298">
        <v>3.4056178014729927E-3</v>
      </c>
    </row>
    <row r="71" spans="1:21" ht="14.4" x14ac:dyDescent="0.3">
      <c r="A71" s="43">
        <v>9</v>
      </c>
      <c r="B71" s="43"/>
      <c r="C71" s="1"/>
      <c r="D71" s="298">
        <v>1.154353524821659</v>
      </c>
      <c r="E71" s="298">
        <v>3.5914593530271834</v>
      </c>
      <c r="F71" s="298">
        <v>0.66156600737101889</v>
      </c>
      <c r="G71" s="298">
        <v>0.60368769264829547</v>
      </c>
      <c r="H71" s="298">
        <v>0.42447764331950832</v>
      </c>
      <c r="I71" s="298">
        <v>1.0648962156533353</v>
      </c>
      <c r="J71" s="298">
        <v>1.5532650518305111</v>
      </c>
      <c r="K71" s="298">
        <v>0.98716445545758624</v>
      </c>
      <c r="L71" s="298">
        <v>0.68104076968532634</v>
      </c>
      <c r="M71" s="298">
        <v>0.50610374236669098</v>
      </c>
      <c r="N71" s="298">
        <v>0.31868142208094846</v>
      </c>
      <c r="O71" s="298">
        <v>0.22626624756676589</v>
      </c>
      <c r="P71" s="298">
        <v>0.1789795622711387</v>
      </c>
      <c r="Q71" s="298">
        <v>0.13966052871548112</v>
      </c>
      <c r="R71" s="298">
        <v>0.13247290047204982</v>
      </c>
      <c r="S71" s="298">
        <v>0.13247290047204982</v>
      </c>
      <c r="T71" s="298">
        <v>0.13247290047204982</v>
      </c>
      <c r="U71" s="298">
        <v>0.13247290047204982</v>
      </c>
    </row>
    <row r="72" spans="1:21" ht="14.4" x14ac:dyDescent="0.3">
      <c r="A72" s="43">
        <v>10</v>
      </c>
      <c r="B72" s="43"/>
      <c r="C72" s="1"/>
      <c r="D72" s="298">
        <v>0.2294007148283545</v>
      </c>
      <c r="E72" s="298">
        <v>4.67408371331944E-2</v>
      </c>
      <c r="F72" s="298">
        <v>3.9171017790739594E-2</v>
      </c>
      <c r="G72" s="298">
        <v>3.1896110289054799E-2</v>
      </c>
      <c r="H72" s="298">
        <v>9.7072760067846587E-3</v>
      </c>
      <c r="I72" s="298">
        <v>1.3760275349404955E-2</v>
      </c>
      <c r="J72" s="298">
        <v>1.2351163020258928E-2</v>
      </c>
      <c r="K72" s="298">
        <v>7.8770677291336265E-3</v>
      </c>
      <c r="L72" s="298">
        <v>6.6241460677741474E-3</v>
      </c>
      <c r="M72" s="298">
        <v>9.5446111698385379E-4</v>
      </c>
      <c r="N72" s="298">
        <v>5.9000829249238182E-3</v>
      </c>
      <c r="O72" s="298">
        <v>2.8410236973985879E-3</v>
      </c>
      <c r="P72" s="298">
        <v>3.0933034144878684E-3</v>
      </c>
      <c r="Q72" s="298">
        <v>1.7024651539385351E-3</v>
      </c>
      <c r="R72" s="298">
        <v>3.8405411483555876E-3</v>
      </c>
      <c r="S72" s="298">
        <v>3.8405411483555876E-3</v>
      </c>
      <c r="T72" s="298">
        <v>3.8405411483555876E-3</v>
      </c>
      <c r="U72" s="298">
        <v>3.8405411483555876E-3</v>
      </c>
    </row>
    <row r="73" spans="1:21" ht="14.4" x14ac:dyDescent="0.3">
      <c r="A73" s="43">
        <v>11</v>
      </c>
      <c r="B73" s="43"/>
      <c r="C73" s="1"/>
      <c r="D73" s="298">
        <v>69.048567707776243</v>
      </c>
      <c r="E73" s="298">
        <v>33.685348584817774</v>
      </c>
      <c r="F73" s="298">
        <v>15.583787301158949</v>
      </c>
      <c r="G73" s="298">
        <v>6.5636008603412694</v>
      </c>
      <c r="H73" s="298">
        <v>7.6797975872700235</v>
      </c>
      <c r="I73" s="298">
        <v>7.4570840283088478</v>
      </c>
      <c r="J73" s="298">
        <v>6.9055670232180777</v>
      </c>
      <c r="K73" s="298">
        <v>6.5341193000171698</v>
      </c>
      <c r="L73" s="298">
        <v>6.0786150094839924</v>
      </c>
      <c r="M73" s="298">
        <v>5.6151234987755405</v>
      </c>
      <c r="N73" s="298">
        <v>4.7731220793376856</v>
      </c>
      <c r="O73" s="298">
        <v>4.037747204995374</v>
      </c>
      <c r="P73" s="298">
        <v>3.4442053406397228</v>
      </c>
      <c r="Q73" s="298">
        <v>2.6571079286057731</v>
      </c>
      <c r="R73" s="298">
        <v>2.6319335627413896</v>
      </c>
      <c r="S73" s="298">
        <v>2.6319335627413896</v>
      </c>
      <c r="T73" s="298">
        <v>2.6319335627413896</v>
      </c>
      <c r="U73" s="298">
        <v>2.6319335627413896</v>
      </c>
    </row>
    <row r="74" spans="1:21" ht="14.4" x14ac:dyDescent="0.3">
      <c r="A74" s="43">
        <v>12</v>
      </c>
      <c r="B74" s="43"/>
      <c r="C74" s="1"/>
      <c r="D74" s="298">
        <v>4.3926126021925166E-2</v>
      </c>
      <c r="E74" s="298">
        <v>1.2877494467594758E-2</v>
      </c>
      <c r="F74" s="298">
        <v>4.5954157397374695E-3</v>
      </c>
      <c r="G74" s="298">
        <v>5.329225146697902E-3</v>
      </c>
      <c r="H74" s="298">
        <v>1.7455825337836627E-3</v>
      </c>
      <c r="I74" s="298">
        <v>6.1922252654432195E-3</v>
      </c>
      <c r="J74" s="298">
        <v>4.6340307760456886E-3</v>
      </c>
      <c r="K74" s="298">
        <v>1.2658928420938899E-3</v>
      </c>
      <c r="L74" s="298">
        <v>7.2345470714335765E-4</v>
      </c>
      <c r="M74" s="298">
        <v>2.8137542278655172E-3</v>
      </c>
      <c r="N74" s="298">
        <v>3.3387817150023614E-3</v>
      </c>
      <c r="O74" s="298">
        <v>7.0415228820549169E-4</v>
      </c>
      <c r="P74" s="298">
        <v>3.2866827675993235E-3</v>
      </c>
      <c r="Q74" s="298">
        <v>2.129932191298423E-3</v>
      </c>
      <c r="R74" s="298">
        <v>3.0726078205235829E-3</v>
      </c>
      <c r="S74" s="298">
        <v>3.0726078205235829E-3</v>
      </c>
      <c r="T74" s="298">
        <v>3.0726078205235829E-3</v>
      </c>
      <c r="U74" s="298">
        <v>3.0726078205235829E-3</v>
      </c>
    </row>
    <row r="75" spans="1:21" ht="14.4" x14ac:dyDescent="0.3">
      <c r="A75" s="43">
        <v>13</v>
      </c>
      <c r="B75" s="43"/>
      <c r="C75" s="1"/>
      <c r="D75" s="298">
        <v>57.626071680473594</v>
      </c>
      <c r="E75" s="298">
        <v>19.008833408591933</v>
      </c>
      <c r="F75" s="298">
        <v>6.0811074483745449</v>
      </c>
      <c r="G75" s="298">
        <v>6.4203508662030933</v>
      </c>
      <c r="H75" s="298">
        <v>4.053836065316168</v>
      </c>
      <c r="I75" s="298">
        <v>3.136813925533426</v>
      </c>
      <c r="J75" s="298">
        <v>3.2687886565984781</v>
      </c>
      <c r="K75" s="298">
        <v>3.1927019928471165</v>
      </c>
      <c r="L75" s="298">
        <v>3.1590323561450395</v>
      </c>
      <c r="M75" s="298">
        <v>3.1114405010378423</v>
      </c>
      <c r="N75" s="298">
        <v>2.9413990501469054</v>
      </c>
      <c r="O75" s="298">
        <v>2.6891381919916104</v>
      </c>
      <c r="P75" s="298">
        <v>2.4129113867682368</v>
      </c>
      <c r="Q75" s="298">
        <v>1.9019132140355048</v>
      </c>
      <c r="R75" s="298">
        <v>1.9731316672454773</v>
      </c>
      <c r="S75" s="298">
        <v>1.9731316672454773</v>
      </c>
      <c r="T75" s="298">
        <v>1.9731316672454773</v>
      </c>
      <c r="U75" s="298">
        <v>1.9731316672454773</v>
      </c>
    </row>
    <row r="76" spans="1:21" ht="14.4" x14ac:dyDescent="0.3">
      <c r="A76" s="43">
        <v>14</v>
      </c>
      <c r="B76" s="43"/>
      <c r="C76" s="1"/>
      <c r="D76" s="298">
        <v>0.20927403927484672</v>
      </c>
      <c r="E76" s="298">
        <v>5.5602611265487843E-2</v>
      </c>
      <c r="F76" s="298">
        <v>4.0150680983375708E-2</v>
      </c>
      <c r="G76" s="298">
        <v>1.1364022598705132E-2</v>
      </c>
      <c r="H76" s="298">
        <v>1.5808693433503308E-2</v>
      </c>
      <c r="I76" s="298">
        <v>1.1300571663228018E-2</v>
      </c>
      <c r="J76" s="298">
        <v>1.3986444352451872E-2</v>
      </c>
      <c r="K76" s="298">
        <v>1.3726550136797936E-2</v>
      </c>
      <c r="L76" s="298">
        <v>1.2922710779955417E-2</v>
      </c>
      <c r="M76" s="298">
        <v>6.7573395777536377E-3</v>
      </c>
      <c r="N76" s="298">
        <v>6.0541163970223889E-3</v>
      </c>
      <c r="O76" s="298">
        <v>8.8566143641728831E-4</v>
      </c>
      <c r="P76" s="298">
        <v>4.5856434142929501E-3</v>
      </c>
      <c r="Q76" s="298">
        <v>2.3769049086772155E-3</v>
      </c>
      <c r="R76" s="298">
        <v>2.1687917940923906E-3</v>
      </c>
      <c r="S76" s="298">
        <v>2.1687917940923906E-3</v>
      </c>
      <c r="T76" s="298">
        <v>2.1687917940923906E-3</v>
      </c>
      <c r="U76" s="298">
        <v>2.1687917940923906E-3</v>
      </c>
    </row>
    <row r="77" spans="1:21" ht="14.4" x14ac:dyDescent="0.3">
      <c r="A77" s="43">
        <v>15</v>
      </c>
      <c r="B77" s="43"/>
      <c r="C77" s="1"/>
      <c r="D77" s="298">
        <v>1.136851568371505</v>
      </c>
      <c r="E77" s="298">
        <v>0.23095610968918576</v>
      </c>
      <c r="F77" s="298">
        <v>0.45935010470309795</v>
      </c>
      <c r="G77" s="298">
        <v>0.33979479464125767</v>
      </c>
      <c r="H77" s="298">
        <v>0.19877874639876153</v>
      </c>
      <c r="I77" s="298">
        <v>0.6117370588990978</v>
      </c>
      <c r="J77" s="298">
        <v>0.7739736036483279</v>
      </c>
      <c r="K77" s="298">
        <v>0.47689818111624066</v>
      </c>
      <c r="L77" s="298">
        <v>0.32445444976062632</v>
      </c>
      <c r="M77" s="298">
        <v>0.24590737646040681</v>
      </c>
      <c r="N77" s="298">
        <v>0.17863761703347875</v>
      </c>
      <c r="O77" s="298">
        <v>0.15238590146764369</v>
      </c>
      <c r="P77" s="298">
        <v>0.13879587874692803</v>
      </c>
      <c r="Q77" s="298">
        <v>0.10849930149243135</v>
      </c>
      <c r="R77" s="298">
        <v>0.10438708261063094</v>
      </c>
      <c r="S77" s="298">
        <v>0.10438708261063094</v>
      </c>
      <c r="T77" s="298">
        <v>0.10438708261063094</v>
      </c>
      <c r="U77" s="298">
        <v>0.10438708261063094</v>
      </c>
    </row>
    <row r="78" spans="1:21" ht="14.4" x14ac:dyDescent="0.3">
      <c r="A78" s="43">
        <v>16</v>
      </c>
      <c r="B78" s="43"/>
      <c r="C78" s="1"/>
      <c r="D78" s="298">
        <v>0.21260480542905863</v>
      </c>
      <c r="E78" s="298">
        <v>5.5251059810874539E-2</v>
      </c>
      <c r="F78" s="298">
        <v>2.9549060045343564E-2</v>
      </c>
      <c r="G78" s="298">
        <v>1.9149260351853523E-2</v>
      </c>
      <c r="H78" s="298">
        <v>8.8894084206710914E-3</v>
      </c>
      <c r="I78" s="298">
        <v>9.8004503653837914E-3</v>
      </c>
      <c r="J78" s="298">
        <v>9.3355107602731344E-3</v>
      </c>
      <c r="K78" s="298">
        <v>1.1176506405604431E-2</v>
      </c>
      <c r="L78" s="298">
        <v>1.0797812516310075E-2</v>
      </c>
      <c r="M78" s="298">
        <v>4.9258459762198314E-3</v>
      </c>
      <c r="N78" s="298">
        <v>1.5412362332936629E-3</v>
      </c>
      <c r="O78" s="298">
        <v>1.7707278526791228E-3</v>
      </c>
      <c r="P78" s="298">
        <v>3.8905467511792919E-3</v>
      </c>
      <c r="Q78" s="298">
        <v>3.1270051788819786E-3</v>
      </c>
      <c r="R78" s="298">
        <v>2.7546885466757905E-3</v>
      </c>
      <c r="S78" s="298">
        <v>2.7546885466757905E-3</v>
      </c>
      <c r="T78" s="298">
        <v>2.7546885466757905E-3</v>
      </c>
      <c r="U78" s="298">
        <v>2.7546885466757905E-3</v>
      </c>
    </row>
    <row r="79" spans="1:21" ht="14.4" x14ac:dyDescent="0.3">
      <c r="A79" s="43">
        <v>17</v>
      </c>
      <c r="B79" s="43"/>
      <c r="C79" s="1"/>
      <c r="D79" s="299">
        <v>38.305868434141544</v>
      </c>
      <c r="E79" s="298">
        <v>5.2999903687276673</v>
      </c>
      <c r="F79" s="298">
        <v>6.2578007441416821</v>
      </c>
      <c r="G79" s="299">
        <v>3.651615692351549</v>
      </c>
      <c r="H79" s="299">
        <v>3.9361368606820331</v>
      </c>
      <c r="I79" s="299">
        <v>3.5365888642625669</v>
      </c>
      <c r="J79" s="298">
        <v>2.7954962272937816</v>
      </c>
      <c r="K79" s="298">
        <v>2.4617473384512585</v>
      </c>
      <c r="L79" s="298">
        <v>2.1281057585635259</v>
      </c>
      <c r="M79" s="298">
        <v>1.850567348179557</v>
      </c>
      <c r="N79" s="299">
        <v>1.5324828885585096</v>
      </c>
      <c r="O79" s="298">
        <v>1.4251739565426205</v>
      </c>
      <c r="P79" s="298">
        <v>1.4117622874341469</v>
      </c>
      <c r="Q79" s="298">
        <v>1.3485789449567889</v>
      </c>
      <c r="R79" s="298">
        <v>1.3516864824509252</v>
      </c>
      <c r="S79" s="298">
        <v>1.3516864824509252</v>
      </c>
      <c r="T79" s="298">
        <v>1.3516864824509252</v>
      </c>
      <c r="U79" s="298">
        <v>1.3516864824509252</v>
      </c>
    </row>
    <row r="80" spans="1:21" ht="14.4" x14ac:dyDescent="0.3">
      <c r="A80" s="43">
        <v>18</v>
      </c>
      <c r="B80" s="43"/>
      <c r="C80" s="1"/>
      <c r="D80" s="298">
        <v>6.8073317161051342E-3</v>
      </c>
      <c r="E80" s="298">
        <v>4.4855023970696963E-3</v>
      </c>
      <c r="F80" s="298">
        <v>3.7080452251308581E-3</v>
      </c>
      <c r="G80" s="298">
        <v>4.1891794258732719E-3</v>
      </c>
      <c r="H80" s="298">
        <v>2.5800652861531514E-3</v>
      </c>
      <c r="I80" s="298">
        <v>5.1323452366736095E-3</v>
      </c>
      <c r="J80" s="298">
        <v>3.2624660891922676E-3</v>
      </c>
      <c r="K80" s="298">
        <v>9.7248963017647263E-4</v>
      </c>
      <c r="L80" s="298">
        <v>5.3824967182370125E-4</v>
      </c>
      <c r="M80" s="298">
        <v>3.4207800467921257E-3</v>
      </c>
      <c r="N80" s="298">
        <v>2.3022193218101682E-3</v>
      </c>
      <c r="O80" s="298">
        <v>7.1766985210155283E-4</v>
      </c>
      <c r="P80" s="298">
        <v>1.6747979107749516E-3</v>
      </c>
      <c r="Q80" s="298">
        <v>1.0243399597807483E-3</v>
      </c>
      <c r="R80" s="298">
        <v>2.7645882744071495E-3</v>
      </c>
      <c r="S80" s="298">
        <v>2.7645882744071495E-3</v>
      </c>
      <c r="T80" s="298">
        <v>2.7645882744071495E-3</v>
      </c>
      <c r="U80" s="298">
        <v>2.7645882744071495E-3</v>
      </c>
    </row>
    <row r="81" spans="1:21" ht="14.4" x14ac:dyDescent="0.3">
      <c r="A81" s="43">
        <v>19</v>
      </c>
      <c r="B81" s="43"/>
      <c r="C81" s="1"/>
      <c r="D81" s="298">
        <v>28.12675018493254</v>
      </c>
      <c r="E81" s="298">
        <v>5.7694235730205383</v>
      </c>
      <c r="F81" s="298">
        <v>4.4923444139523241</v>
      </c>
      <c r="G81" s="298">
        <v>2.461818140179882</v>
      </c>
      <c r="H81" s="298">
        <v>1.5612033953483941</v>
      </c>
      <c r="I81" s="298">
        <v>1.435344927819425</v>
      </c>
      <c r="J81" s="298">
        <v>1.8152549557696753</v>
      </c>
      <c r="K81" s="298">
        <v>1.7533389509717254</v>
      </c>
      <c r="L81" s="298">
        <v>1.6441205577377018</v>
      </c>
      <c r="M81" s="298">
        <v>1.5015094716885002</v>
      </c>
      <c r="N81" s="298">
        <v>1.1978760529333901</v>
      </c>
      <c r="O81" s="298">
        <v>0.96493434637770215</v>
      </c>
      <c r="P81" s="298">
        <v>0.86230538911097832</v>
      </c>
      <c r="Q81" s="298">
        <v>0.87143134542122158</v>
      </c>
      <c r="R81" s="298">
        <v>0.89423887387252965</v>
      </c>
      <c r="S81" s="298">
        <v>0.89423887387252965</v>
      </c>
      <c r="T81" s="298">
        <v>0.89423887387252965</v>
      </c>
      <c r="U81" s="298">
        <v>0.89423887387252965</v>
      </c>
    </row>
    <row r="82" spans="1:21" ht="14.4" x14ac:dyDescent="0.3">
      <c r="A82" s="43">
        <v>20</v>
      </c>
      <c r="B82" s="43"/>
      <c r="C82" s="1"/>
      <c r="D82" s="298">
        <v>0.16228025606892954</v>
      </c>
      <c r="E82" s="298">
        <v>3.4304595434386999E-2</v>
      </c>
      <c r="F82" s="298">
        <v>3.603503131369204E-2</v>
      </c>
      <c r="G82" s="298">
        <v>1.3414457398225953E-2</v>
      </c>
      <c r="H82" s="298">
        <v>1.3820648138552563E-2</v>
      </c>
      <c r="I82" s="298">
        <v>1.2553645285502412E-2</v>
      </c>
      <c r="J82" s="298">
        <v>1.1519216055600136E-2</v>
      </c>
      <c r="K82" s="298">
        <v>1.2482583619361326E-2</v>
      </c>
      <c r="L82" s="298">
        <v>1.0659586926913772E-2</v>
      </c>
      <c r="M82" s="298">
        <v>3.9990621565117561E-3</v>
      </c>
      <c r="N82" s="298">
        <v>4.289924599988241E-3</v>
      </c>
      <c r="O82" s="298">
        <v>2.3631359410929234E-3</v>
      </c>
      <c r="P82" s="298">
        <v>2.0372139828744758E-3</v>
      </c>
      <c r="Q82" s="298">
        <v>2.6099379219788315E-3</v>
      </c>
      <c r="R82" s="298">
        <v>3.3164014470484933E-3</v>
      </c>
      <c r="S82" s="298">
        <v>3.3164014470484933E-3</v>
      </c>
      <c r="T82" s="298">
        <v>3.3164014470484933E-3</v>
      </c>
      <c r="U82" s="298">
        <v>3.3164014470484933E-3</v>
      </c>
    </row>
    <row r="83" spans="1:21" ht="14.4" x14ac:dyDescent="0.3">
      <c r="A83" s="43">
        <v>21</v>
      </c>
      <c r="B83" s="43"/>
      <c r="C83" s="1"/>
      <c r="D83" s="298">
        <v>0.62329316321319206</v>
      </c>
      <c r="E83" s="298">
        <v>0.38652912360520963</v>
      </c>
      <c r="F83" s="298">
        <v>0.28848587809075404</v>
      </c>
      <c r="G83" s="298">
        <v>0.2327624797312611</v>
      </c>
      <c r="H83" s="298">
        <v>0.12695962714013889</v>
      </c>
      <c r="I83" s="298">
        <v>0.43156831387325317</v>
      </c>
      <c r="J83" s="298">
        <v>0.51232861946084751</v>
      </c>
      <c r="K83" s="298">
        <v>0.33639919482821595</v>
      </c>
      <c r="L83" s="298">
        <v>0.24976274080004948</v>
      </c>
      <c r="M83" s="298">
        <v>0.20143664947276263</v>
      </c>
      <c r="N83" s="298">
        <v>0.14886071320433725</v>
      </c>
      <c r="O83" s="298">
        <v>0.11057082122039739</v>
      </c>
      <c r="P83" s="298">
        <v>8.69095877563483E-2</v>
      </c>
      <c r="Q83" s="298">
        <v>6.469840401868561E-2</v>
      </c>
      <c r="R83" s="298">
        <v>6.207334554446476E-2</v>
      </c>
      <c r="S83" s="298">
        <v>6.207334554446476E-2</v>
      </c>
      <c r="T83" s="298">
        <v>6.207334554446476E-2</v>
      </c>
      <c r="U83" s="298">
        <v>6.207334554446476E-2</v>
      </c>
    </row>
    <row r="84" spans="1:21" ht="14.4" x14ac:dyDescent="0.3">
      <c r="A84" s="43">
        <v>22</v>
      </c>
      <c r="B84" s="43"/>
      <c r="C84" s="1"/>
      <c r="D84" s="298">
        <v>0.10196628651957353</v>
      </c>
      <c r="E84" s="298">
        <v>3.8702088424270906E-2</v>
      </c>
      <c r="F84" s="298">
        <v>3.2940823141321553E-2</v>
      </c>
      <c r="G84" s="298">
        <v>1.4397088226243407E-2</v>
      </c>
      <c r="H84" s="298">
        <v>8.0433131135157904E-3</v>
      </c>
      <c r="I84" s="298">
        <v>9.1411482785596215E-3</v>
      </c>
      <c r="J84" s="298">
        <v>1.3328297513609087E-2</v>
      </c>
      <c r="K84" s="298">
        <v>9.9334339431091864E-3</v>
      </c>
      <c r="L84" s="298">
        <v>8.7776949548354632E-3</v>
      </c>
      <c r="M84" s="298">
        <v>2.8422690440152187E-3</v>
      </c>
      <c r="N84" s="298">
        <v>1.7693174251628295E-3</v>
      </c>
      <c r="O84" s="298">
        <v>2.3683965026528521E-3</v>
      </c>
      <c r="P84" s="298">
        <v>2.2687748359132434E-3</v>
      </c>
      <c r="Q84" s="298">
        <v>3.2956893394252857E-3</v>
      </c>
      <c r="R84" s="298">
        <v>3.1845733198832878E-3</v>
      </c>
      <c r="S84" s="298">
        <v>3.1845733198832878E-3</v>
      </c>
      <c r="T84" s="298">
        <v>3.1845733198832878E-3</v>
      </c>
      <c r="U84" s="298">
        <v>3.1845733198832878E-3</v>
      </c>
    </row>
    <row r="85" spans="1:21" ht="14.4" x14ac:dyDescent="0.3">
      <c r="A85" s="43">
        <v>23</v>
      </c>
      <c r="B85" s="43"/>
      <c r="C85" s="1"/>
      <c r="D85" s="298">
        <v>14.111336248333169</v>
      </c>
      <c r="E85" s="298">
        <v>4.5502762773923147</v>
      </c>
      <c r="F85" s="298">
        <v>2.8173069900787024</v>
      </c>
      <c r="G85" s="298">
        <v>2.0670952688936821</v>
      </c>
      <c r="H85" s="298">
        <v>2.2928087910650583</v>
      </c>
      <c r="I85" s="298">
        <v>1.9472020944612196</v>
      </c>
      <c r="J85" s="298">
        <v>1.3645089433593613</v>
      </c>
      <c r="K85" s="298">
        <v>1.1709027163413299</v>
      </c>
      <c r="L85" s="298">
        <v>1.0449622436221531</v>
      </c>
      <c r="M85" s="298">
        <v>0.98668776275695924</v>
      </c>
      <c r="N85" s="298">
        <v>0.97151910927620677</v>
      </c>
      <c r="O85" s="298">
        <v>0.91499109629030073</v>
      </c>
      <c r="P85" s="298">
        <v>0.81941237005377587</v>
      </c>
      <c r="Q85" s="298">
        <v>0.64151011524075341</v>
      </c>
      <c r="R85" s="298">
        <v>0.64347399672352978</v>
      </c>
      <c r="S85" s="298">
        <v>0.64347399672352978</v>
      </c>
      <c r="T85" s="298">
        <v>0.64347399672352978</v>
      </c>
      <c r="U85" s="298">
        <v>0.64347399672352978</v>
      </c>
    </row>
    <row r="86" spans="1:21" ht="14.4" x14ac:dyDescent="0.3">
      <c r="A86" s="43">
        <v>24</v>
      </c>
      <c r="B86" s="43"/>
      <c r="C86" s="1"/>
      <c r="D86" s="298">
        <v>3.6824454901743818E-2</v>
      </c>
      <c r="E86" s="298">
        <v>9.8382681602157043E-3</v>
      </c>
      <c r="F86" s="298">
        <v>2.4869442257516557E-3</v>
      </c>
      <c r="G86" s="298">
        <v>3.7823320015961076E-3</v>
      </c>
      <c r="H86" s="298">
        <v>3.0035667733548503E-3</v>
      </c>
      <c r="I86" s="298">
        <v>5.3235417328994826E-3</v>
      </c>
      <c r="J86" s="298">
        <v>5.8116700278296428E-3</v>
      </c>
      <c r="K86" s="298">
        <v>2.9855222275943743E-3</v>
      </c>
      <c r="L86" s="298">
        <v>2.3272957918215429E-3</v>
      </c>
      <c r="M86" s="298">
        <v>3.1075268606800422E-3</v>
      </c>
      <c r="N86" s="298">
        <v>1.6642059470906843E-3</v>
      </c>
      <c r="O86" s="298">
        <v>5.0465814106315395E-4</v>
      </c>
      <c r="P86" s="298">
        <v>2.4652728971896356E-3</v>
      </c>
      <c r="Q86" s="298">
        <v>5.6815989694872823E-4</v>
      </c>
      <c r="R86" s="298">
        <v>2.910084521893625E-3</v>
      </c>
      <c r="S86" s="298">
        <v>2.910084521893625E-3</v>
      </c>
      <c r="T86" s="298">
        <v>2.910084521893625E-3</v>
      </c>
      <c r="U86" s="298">
        <v>2.910084521893625E-3</v>
      </c>
    </row>
    <row r="87" spans="1:21" ht="14.4" x14ac:dyDescent="0.3">
      <c r="A87" s="43">
        <v>25</v>
      </c>
      <c r="B87" s="43"/>
      <c r="C87" s="1"/>
      <c r="D87" s="298">
        <v>9.1460847189836905</v>
      </c>
      <c r="E87" s="298">
        <v>3.3287755929835949</v>
      </c>
      <c r="F87" s="298">
        <v>2.4769082641614584</v>
      </c>
      <c r="G87" s="298">
        <v>1.4065816239828657</v>
      </c>
      <c r="H87" s="298">
        <v>0.9812541545579192</v>
      </c>
      <c r="I87" s="298">
        <v>0.87516515937476913</v>
      </c>
      <c r="J87" s="298">
        <v>1.0203047520164361</v>
      </c>
      <c r="K87" s="298">
        <v>0.89181945133108653</v>
      </c>
      <c r="L87" s="298">
        <v>0.77335390981045959</v>
      </c>
      <c r="M87" s="298">
        <v>0.680943962179267</v>
      </c>
      <c r="N87" s="298">
        <v>0.60410783726699213</v>
      </c>
      <c r="O87" s="298">
        <v>0.59625159344747769</v>
      </c>
      <c r="P87" s="298">
        <v>0.57911197721694829</v>
      </c>
      <c r="Q87" s="298">
        <v>0.47588131924725879</v>
      </c>
      <c r="R87" s="298">
        <v>0.48332856078705327</v>
      </c>
      <c r="S87" s="298">
        <v>0.48332856078705327</v>
      </c>
      <c r="T87" s="298">
        <v>0.48332856078705327</v>
      </c>
      <c r="U87" s="298">
        <v>0.48332856078705327</v>
      </c>
    </row>
    <row r="88" spans="1:21" ht="14.4" x14ac:dyDescent="0.3">
      <c r="A88" s="43">
        <v>26</v>
      </c>
      <c r="B88" s="43"/>
      <c r="C88" s="1"/>
      <c r="D88" s="298">
        <v>5.0821504219815294E-2</v>
      </c>
      <c r="E88" s="298">
        <v>5.5062549483802257E-2</v>
      </c>
      <c r="F88" s="298">
        <v>2.6569838221547654E-2</v>
      </c>
      <c r="G88" s="298">
        <v>1.7180710354120391E-2</v>
      </c>
      <c r="H88" s="298">
        <v>1.4413765296386657E-2</v>
      </c>
      <c r="I88" s="298">
        <v>1.340051166752103E-2</v>
      </c>
      <c r="J88" s="298">
        <v>1.2261667576280695E-2</v>
      </c>
      <c r="K88" s="298">
        <v>1.1494261330574136E-2</v>
      </c>
      <c r="L88" s="298">
        <v>1.1502164549246671E-2</v>
      </c>
      <c r="M88" s="298">
        <v>6.3586835670058186E-3</v>
      </c>
      <c r="N88" s="298">
        <v>5.7283366829020497E-3</v>
      </c>
      <c r="O88" s="298">
        <v>1.4156391535011382E-3</v>
      </c>
      <c r="P88" s="298">
        <v>2.35923526977449E-3</v>
      </c>
      <c r="Q88" s="298">
        <v>3.048115692564884E-3</v>
      </c>
      <c r="R88" s="298">
        <v>2.505817916151253E-3</v>
      </c>
      <c r="S88" s="298">
        <v>2.505817916151253E-3</v>
      </c>
      <c r="T88" s="298">
        <v>2.505817916151253E-3</v>
      </c>
      <c r="U88" s="298">
        <v>2.505817916151253E-3</v>
      </c>
    </row>
    <row r="89" spans="1:21" ht="14.4" x14ac:dyDescent="0.3">
      <c r="A89" s="43">
        <v>27</v>
      </c>
      <c r="B89" s="43"/>
      <c r="C89" s="1"/>
      <c r="D89" s="298">
        <v>0.21238680360962095</v>
      </c>
      <c r="E89" s="298">
        <v>0.25707405179893289</v>
      </c>
      <c r="F89" s="298">
        <v>0.16073741316951387</v>
      </c>
      <c r="G89" s="298">
        <v>0.17380962651022741</v>
      </c>
      <c r="H89" s="298">
        <v>9.1193806224074303E-2</v>
      </c>
      <c r="I89" s="298">
        <v>0.33088372878460953</v>
      </c>
      <c r="J89" s="298">
        <v>0.40809218499146371</v>
      </c>
      <c r="K89" s="298">
        <v>0.28326195110267732</v>
      </c>
      <c r="L89" s="298">
        <v>0.20563582476045428</v>
      </c>
      <c r="M89" s="298">
        <v>0.15760505021576746</v>
      </c>
      <c r="N89" s="298">
        <v>9.9377043514666238E-2</v>
      </c>
      <c r="O89" s="298">
        <v>7.5391622206023953E-2</v>
      </c>
      <c r="P89" s="298">
        <v>6.8011485955306775E-2</v>
      </c>
      <c r="Q89" s="298">
        <v>5.56664765461901E-2</v>
      </c>
      <c r="R89" s="298">
        <v>5.3354821022066533E-2</v>
      </c>
      <c r="S89" s="298">
        <v>5.3354821022066533E-2</v>
      </c>
      <c r="T89" s="298">
        <v>5.3354821022066533E-2</v>
      </c>
      <c r="U89" s="298">
        <v>5.3354821022066533E-2</v>
      </c>
    </row>
    <row r="90" spans="1:21" ht="14.4" x14ac:dyDescent="0.3">
      <c r="A90" s="43">
        <v>28</v>
      </c>
      <c r="B90" s="43"/>
      <c r="C90" s="1"/>
      <c r="D90" s="298">
        <v>1.9392625777396737E-2</v>
      </c>
      <c r="E90" s="298">
        <v>4.7102518518670457E-2</v>
      </c>
      <c r="F90" s="298">
        <v>2.8971418661601897E-2</v>
      </c>
      <c r="G90" s="298">
        <v>1.1872541264805246E-2</v>
      </c>
      <c r="H90" s="298">
        <v>6.9611130983163278E-3</v>
      </c>
      <c r="I90" s="298">
        <v>8.5362681900183323E-3</v>
      </c>
      <c r="J90" s="298">
        <v>1.2556658041302614E-2</v>
      </c>
      <c r="K90" s="298">
        <v>1.0537656791068419E-2</v>
      </c>
      <c r="L90" s="298">
        <v>9.2930775732190107E-3</v>
      </c>
      <c r="M90" s="298">
        <v>3.3090135809581808E-3</v>
      </c>
      <c r="N90" s="298">
        <v>8.4429509332862738E-4</v>
      </c>
      <c r="O90" s="298">
        <v>1.7536756837702497E-3</v>
      </c>
      <c r="P90" s="298">
        <v>1.2486380283558422E-3</v>
      </c>
      <c r="Q90" s="298">
        <v>3.2293207653354824E-3</v>
      </c>
      <c r="R90" s="298">
        <v>2.7333925969108054E-3</v>
      </c>
      <c r="S90" s="298">
        <v>2.7333925969108054E-3</v>
      </c>
      <c r="T90" s="298">
        <v>2.7333925969108054E-3</v>
      </c>
      <c r="U90" s="298">
        <v>2.7333925969108054E-3</v>
      </c>
    </row>
    <row r="91" spans="1:21" ht="14.4" x14ac:dyDescent="0.3">
      <c r="A91" s="43">
        <v>29</v>
      </c>
      <c r="B91" s="43"/>
      <c r="C91" s="1"/>
      <c r="D91" s="298">
        <v>6.5146861253923207</v>
      </c>
      <c r="E91" s="298">
        <v>2.6788137999966111</v>
      </c>
      <c r="F91" s="298">
        <v>1.6106667515221753</v>
      </c>
      <c r="G91" s="298">
        <v>1.3975423047728013</v>
      </c>
      <c r="H91" s="298">
        <v>1.3999934630363924</v>
      </c>
      <c r="I91" s="298">
        <v>1.0907850218496227</v>
      </c>
      <c r="J91" s="298">
        <v>0.75870567381450926</v>
      </c>
      <c r="K91" s="298">
        <v>0.75678843679568575</v>
      </c>
      <c r="L91" s="298">
        <v>0.75575983296320848</v>
      </c>
      <c r="M91" s="298">
        <v>0.72478506133268517</v>
      </c>
      <c r="N91" s="298">
        <v>0.61840577400138186</v>
      </c>
      <c r="O91" s="298">
        <v>0.50578743449988961</v>
      </c>
      <c r="P91" s="298">
        <v>0.46727025134098182</v>
      </c>
      <c r="Q91" s="298">
        <v>0.45386743782930422</v>
      </c>
      <c r="R91" s="298">
        <v>0.4514293951690499</v>
      </c>
      <c r="S91" s="298">
        <v>0.4514293951690499</v>
      </c>
      <c r="T91" s="298">
        <v>0.4514293951690499</v>
      </c>
      <c r="U91" s="298">
        <v>0.4514293951690499</v>
      </c>
    </row>
    <row r="92" spans="1:21" ht="14.4" x14ac:dyDescent="0.3">
      <c r="A92" s="43">
        <v>30</v>
      </c>
      <c r="B92" s="43"/>
      <c r="C92" s="1"/>
      <c r="D92" s="298">
        <v>3.4884370898550648E-2</v>
      </c>
      <c r="E92" s="298">
        <v>4.1765772225850796E-3</v>
      </c>
      <c r="F92" s="298">
        <v>3.1945642193693534E-3</v>
      </c>
      <c r="G92" s="298">
        <v>3.60287707209932E-3</v>
      </c>
      <c r="H92" s="298">
        <v>3.2920300374340902E-3</v>
      </c>
      <c r="I92" s="298">
        <v>5.0314868423076246E-3</v>
      </c>
      <c r="J92" s="298">
        <v>4.6053075814346854E-3</v>
      </c>
      <c r="K92" s="298">
        <v>3.6991571943863818E-3</v>
      </c>
      <c r="L92" s="298">
        <v>1.9564019833816105E-3</v>
      </c>
      <c r="M92" s="298">
        <v>2.8717553777810353E-3</v>
      </c>
      <c r="N92" s="298">
        <v>2.6821760992090326E-3</v>
      </c>
      <c r="O92" s="298">
        <v>5.3985110846739104E-4</v>
      </c>
      <c r="P92" s="298">
        <v>8.6189772740157076E-4</v>
      </c>
      <c r="Q92" s="298">
        <v>7.0587971191137216E-4</v>
      </c>
      <c r="R92" s="298">
        <v>2.5967183728580682E-3</v>
      </c>
      <c r="S92" s="298">
        <v>2.5967183728580682E-3</v>
      </c>
      <c r="T92" s="298">
        <v>2.5967183728580682E-3</v>
      </c>
      <c r="U92" s="298">
        <v>2.5967183728580682E-3</v>
      </c>
    </row>
    <row r="93" spans="1:21" ht="14.4" x14ac:dyDescent="0.3">
      <c r="A93" s="43">
        <v>31</v>
      </c>
      <c r="B93" s="43"/>
      <c r="C93" s="1"/>
      <c r="D93" s="298">
        <v>6.3339107327432735</v>
      </c>
      <c r="E93" s="298">
        <v>2.4858685050570775</v>
      </c>
      <c r="F93" s="298">
        <v>1.4322222537619056</v>
      </c>
      <c r="G93" s="298">
        <v>0.82280279165842463</v>
      </c>
      <c r="H93" s="298">
        <v>0.68512353629472578</v>
      </c>
      <c r="I93" s="298">
        <v>0.58112005814292844</v>
      </c>
      <c r="J93" s="298">
        <v>0.56772740214173922</v>
      </c>
      <c r="K93" s="298">
        <v>0.46221863452787271</v>
      </c>
      <c r="L93" s="298">
        <v>0.42486576546865334</v>
      </c>
      <c r="M93" s="298">
        <v>0.43056874893088998</v>
      </c>
      <c r="N93" s="298">
        <v>0.43268010175951643</v>
      </c>
      <c r="O93" s="298">
        <v>0.37617527613812002</v>
      </c>
      <c r="P93" s="298">
        <v>0.31678577460681751</v>
      </c>
      <c r="Q93" s="298">
        <v>0.30877008317967913</v>
      </c>
      <c r="R93" s="298">
        <v>0.3120658886678041</v>
      </c>
      <c r="S93" s="298">
        <v>0.3120658886678041</v>
      </c>
      <c r="T93" s="298">
        <v>0.3120658886678041</v>
      </c>
      <c r="U93" s="298">
        <v>0.3120658886678041</v>
      </c>
    </row>
    <row r="94" spans="1:21" ht="14.4" x14ac:dyDescent="0.3">
      <c r="A94" s="43">
        <v>32</v>
      </c>
      <c r="B94" s="43"/>
      <c r="C94" s="1"/>
      <c r="D94" s="298">
        <v>4.6506205535545839E-2</v>
      </c>
      <c r="E94" s="298">
        <v>3.3260518350729629E-2</v>
      </c>
      <c r="F94" s="298">
        <v>2.9586195514357663E-2</v>
      </c>
      <c r="G94" s="298">
        <v>1.9535797704362808E-2</v>
      </c>
      <c r="H94" s="298">
        <v>1.4563606306652922E-2</v>
      </c>
      <c r="I94" s="298">
        <v>1.305927336868163E-2</v>
      </c>
      <c r="J94" s="298">
        <v>8.8970610246392086E-3</v>
      </c>
      <c r="K94" s="298">
        <v>1.1901375104307985E-2</v>
      </c>
      <c r="L94" s="298">
        <v>1.1921658515740853E-2</v>
      </c>
      <c r="M94" s="298">
        <v>5.9187663071225798E-3</v>
      </c>
      <c r="N94" s="298">
        <v>4.587462629749072E-3</v>
      </c>
      <c r="O94" s="298">
        <v>1.2699646308248702E-3</v>
      </c>
      <c r="P94" s="298">
        <v>2.2444292602197963E-3</v>
      </c>
      <c r="Q94" s="298">
        <v>2.8384966763810126E-3</v>
      </c>
      <c r="R94" s="298">
        <v>2.9287371239286731E-3</v>
      </c>
      <c r="S94" s="298">
        <v>2.9287371239286731E-3</v>
      </c>
      <c r="T94" s="298">
        <v>2.9287371239286731E-3</v>
      </c>
      <c r="U94" s="298">
        <v>2.9287371239286731E-3</v>
      </c>
    </row>
    <row r="95" spans="1:21" ht="14.4" x14ac:dyDescent="0.3">
      <c r="A95" s="43">
        <v>33</v>
      </c>
      <c r="B95" s="43"/>
      <c r="C95" s="1"/>
      <c r="D95" s="298">
        <v>0.30274927892914244</v>
      </c>
      <c r="E95" s="298">
        <v>1.7216657169820748E-2</v>
      </c>
      <c r="F95" s="298">
        <v>0.12233571605865014</v>
      </c>
      <c r="G95" s="298">
        <v>0.13605621192601108</v>
      </c>
      <c r="H95" s="298">
        <v>7.0763148414675126E-2</v>
      </c>
      <c r="I95" s="298">
        <v>0.26563628264177047</v>
      </c>
      <c r="J95" s="298">
        <v>0.34165566585023771</v>
      </c>
      <c r="K95" s="298">
        <v>0.22742267911109676</v>
      </c>
      <c r="L95" s="298">
        <v>0.15381673439332844</v>
      </c>
      <c r="M95" s="298">
        <v>0.11558930646976719</v>
      </c>
      <c r="N95" s="298">
        <v>8.4151409301761251E-2</v>
      </c>
      <c r="O95" s="298">
        <v>6.7503639523961864E-2</v>
      </c>
      <c r="P95" s="298">
        <v>5.6413371607669127E-2</v>
      </c>
      <c r="Q95" s="298">
        <v>4.1647697018963321E-2</v>
      </c>
      <c r="R95" s="298">
        <v>3.9799798597555773E-2</v>
      </c>
      <c r="S95" s="298">
        <v>3.9799798597555773E-2</v>
      </c>
      <c r="T95" s="298">
        <v>3.9799798597555773E-2</v>
      </c>
      <c r="U95" s="298">
        <v>3.9799798597555773E-2</v>
      </c>
    </row>
    <row r="96" spans="1:21" ht="14.4" x14ac:dyDescent="0.3">
      <c r="A96" s="43">
        <v>34</v>
      </c>
      <c r="B96" s="43"/>
      <c r="C96" s="1"/>
      <c r="D96" s="298">
        <v>0.15658261184107439</v>
      </c>
      <c r="E96" s="298">
        <v>6.9206297258360139E-2</v>
      </c>
      <c r="F96" s="298">
        <v>0.11719738000471913</v>
      </c>
      <c r="G96" s="298">
        <v>9.0950515996728487E-2</v>
      </c>
      <c r="H96" s="298">
        <v>5.6069430808107633E-2</v>
      </c>
      <c r="I96" s="298">
        <v>0.18457651004529252</v>
      </c>
      <c r="J96" s="298">
        <v>0.21861320828195963</v>
      </c>
      <c r="K96" s="298">
        <v>0.14805460867942424</v>
      </c>
      <c r="L96" s="298">
        <v>0.10865726471480185</v>
      </c>
      <c r="M96" s="298">
        <v>8.7921961526698345E-2</v>
      </c>
      <c r="N96" s="298">
        <v>5.8256465500538285E-2</v>
      </c>
      <c r="O96" s="298">
        <v>4.4253058727944716E-2</v>
      </c>
      <c r="P96" s="298">
        <v>3.9509788445304235E-2</v>
      </c>
      <c r="Q96" s="298">
        <v>2.9542651780987427E-2</v>
      </c>
      <c r="R96" s="298">
        <v>2.8071591122090556E-2</v>
      </c>
      <c r="S96" s="298">
        <v>2.8071591122090556E-2</v>
      </c>
      <c r="T96" s="298">
        <v>2.8071591122090556E-2</v>
      </c>
      <c r="U96" s="298">
        <v>2.8071591122090556E-2</v>
      </c>
    </row>
    <row r="97" spans="1:21" ht="14.4" x14ac:dyDescent="0.3">
      <c r="A97" s="43">
        <v>35</v>
      </c>
      <c r="B97" s="43"/>
      <c r="C97" s="1"/>
      <c r="D97" s="298">
        <v>5.9029852258662023</v>
      </c>
      <c r="E97" s="298">
        <v>1.4733260588243429</v>
      </c>
      <c r="F97" s="298">
        <v>1.2803616292235322</v>
      </c>
      <c r="G97" s="298">
        <v>1.0290257258239199</v>
      </c>
      <c r="H97" s="298">
        <v>0.95078684693100002</v>
      </c>
      <c r="I97" s="298">
        <v>0.68755518357204037</v>
      </c>
      <c r="J97" s="298">
        <v>0.51648077967213191</v>
      </c>
      <c r="K97" s="298">
        <v>0.5658478637815777</v>
      </c>
      <c r="L97" s="298">
        <v>0.55172205299175037</v>
      </c>
      <c r="M97" s="298">
        <v>0.48796466250698262</v>
      </c>
      <c r="N97" s="298">
        <v>0.39029335703643686</v>
      </c>
      <c r="O97" s="298">
        <v>0.36343466624775511</v>
      </c>
      <c r="P97" s="298">
        <v>0.35166631128246867</v>
      </c>
      <c r="Q97" s="298">
        <v>0.28545240285608292</v>
      </c>
      <c r="R97" s="298">
        <v>0.28281840150514814</v>
      </c>
      <c r="S97" s="298">
        <v>0.28281840150514814</v>
      </c>
      <c r="T97" s="298">
        <v>0.28281840150514814</v>
      </c>
      <c r="U97" s="298">
        <v>0.28281840150514814</v>
      </c>
    </row>
    <row r="98" spans="1:21" ht="14.4" x14ac:dyDescent="0.3">
      <c r="A98" s="43">
        <v>36</v>
      </c>
      <c r="B98" s="43"/>
      <c r="C98" s="1"/>
      <c r="D98" s="298">
        <v>0.15658261184107439</v>
      </c>
      <c r="E98" s="298">
        <v>6.9206297258360139E-2</v>
      </c>
      <c r="F98" s="298">
        <v>0.11719738000471913</v>
      </c>
      <c r="G98" s="298">
        <v>9.0950515996728487E-2</v>
      </c>
      <c r="H98" s="298">
        <v>5.6069430808107633E-2</v>
      </c>
      <c r="I98" s="298">
        <v>0.18457651004529252</v>
      </c>
      <c r="J98" s="298">
        <v>0.21861320828195963</v>
      </c>
      <c r="K98" s="298">
        <v>0.14805460867942424</v>
      </c>
      <c r="L98" s="298">
        <v>0.10865726471480185</v>
      </c>
      <c r="M98" s="298">
        <v>8.7921961526698345E-2</v>
      </c>
      <c r="N98" s="298">
        <v>5.8256465500538285E-2</v>
      </c>
      <c r="O98" s="298">
        <v>4.4253058727944716E-2</v>
      </c>
      <c r="P98" s="298">
        <v>3.9509788445304235E-2</v>
      </c>
      <c r="Q98" s="298">
        <v>2.9542651780987427E-2</v>
      </c>
      <c r="R98" s="298">
        <v>2.8071591122090556E-2</v>
      </c>
      <c r="S98" s="298">
        <v>2.8071591122090556E-2</v>
      </c>
      <c r="T98" s="298">
        <v>2.8071591122090556E-2</v>
      </c>
      <c r="U98" s="298">
        <v>2.8071591122090556E-2</v>
      </c>
    </row>
    <row r="99" spans="1:21" ht="14.4" x14ac:dyDescent="0.3">
      <c r="A99" s="43">
        <v>37</v>
      </c>
      <c r="B99" s="43"/>
      <c r="C99" s="1"/>
      <c r="D99" s="298">
        <v>4.7242605294817244</v>
      </c>
      <c r="E99" s="298">
        <v>1.4147795985274163</v>
      </c>
      <c r="F99" s="298">
        <v>0.86563302172429457</v>
      </c>
      <c r="G99" s="298">
        <v>0.58792408051231626</v>
      </c>
      <c r="H99" s="298">
        <v>0.44571284137714501</v>
      </c>
      <c r="I99" s="298">
        <v>0.35071388358174704</v>
      </c>
      <c r="J99" s="298">
        <v>0.34192356461046053</v>
      </c>
      <c r="K99" s="298">
        <v>0.32136315457507253</v>
      </c>
      <c r="L99" s="298">
        <v>0.32334277343163409</v>
      </c>
      <c r="M99" s="298">
        <v>0.31458122808120276</v>
      </c>
      <c r="N99" s="298">
        <v>0.26038899134139826</v>
      </c>
      <c r="O99" s="298">
        <v>0.23293659142238254</v>
      </c>
      <c r="P99" s="298">
        <v>0.23495243567481122</v>
      </c>
      <c r="Q99" s="298">
        <v>0.1983093021126322</v>
      </c>
      <c r="R99" s="298">
        <v>0.19995839901366486</v>
      </c>
      <c r="S99" s="298">
        <v>0.19995839901366486</v>
      </c>
      <c r="T99" s="298">
        <v>0.19995839901366486</v>
      </c>
      <c r="U99" s="298">
        <v>0.19995839901366486</v>
      </c>
    </row>
    <row r="100" spans="1:21" ht="14.4" x14ac:dyDescent="0.3">
      <c r="A100" s="43">
        <v>38</v>
      </c>
      <c r="B100" s="43"/>
      <c r="C100" s="1"/>
      <c r="D100" s="298">
        <v>0.15658261184107439</v>
      </c>
      <c r="E100" s="298">
        <v>6.9206297258360139E-2</v>
      </c>
      <c r="F100" s="298">
        <v>0.11719738000471913</v>
      </c>
      <c r="G100" s="298">
        <v>9.0950515996728487E-2</v>
      </c>
      <c r="H100" s="298">
        <v>5.6069430808107633E-2</v>
      </c>
      <c r="I100" s="298">
        <v>0.18457651004529252</v>
      </c>
      <c r="J100" s="298">
        <v>0.21861320828195963</v>
      </c>
      <c r="K100" s="298">
        <v>0.14805460867942424</v>
      </c>
      <c r="L100" s="298">
        <v>0.10865726471480185</v>
      </c>
      <c r="M100" s="298">
        <v>8.7921961526698345E-2</v>
      </c>
      <c r="N100" s="298">
        <v>5.8256465500538285E-2</v>
      </c>
      <c r="O100" s="298">
        <v>4.4253058727944716E-2</v>
      </c>
      <c r="P100" s="298">
        <v>3.9509788445304235E-2</v>
      </c>
      <c r="Q100" s="298">
        <v>2.9542651780987427E-2</v>
      </c>
      <c r="R100" s="298">
        <v>2.8071591122090556E-2</v>
      </c>
      <c r="S100" s="298">
        <v>2.8071591122090556E-2</v>
      </c>
      <c r="T100" s="298">
        <v>2.8071591122090556E-2</v>
      </c>
      <c r="U100" s="298">
        <v>2.8071591122090556E-2</v>
      </c>
    </row>
    <row r="101" spans="1:21" ht="14.4" x14ac:dyDescent="0.3">
      <c r="A101" s="43">
        <v>39</v>
      </c>
      <c r="B101" s="43"/>
      <c r="C101" s="1"/>
      <c r="D101" s="298">
        <v>0.2079850899943797</v>
      </c>
      <c r="E101" s="298">
        <v>0.13041647508011303</v>
      </c>
      <c r="F101" s="298">
        <v>0.12947509110634475</v>
      </c>
      <c r="G101" s="298">
        <v>0.11009404781577684</v>
      </c>
      <c r="H101" s="298">
        <v>6.014929527512837E-2</v>
      </c>
      <c r="I101" s="298">
        <v>0.21949671273146126</v>
      </c>
      <c r="J101" s="298">
        <v>0.27640701454444089</v>
      </c>
      <c r="K101" s="298">
        <v>0.17818419975534588</v>
      </c>
      <c r="L101" s="298">
        <v>0.12256174642203793</v>
      </c>
      <c r="M101" s="298">
        <v>9.8387203409769475E-2</v>
      </c>
      <c r="N101" s="298">
        <v>7.1958024598108364E-2</v>
      </c>
      <c r="O101" s="298">
        <v>5.1366620792552581E-2</v>
      </c>
      <c r="P101" s="298">
        <v>4.2850088405828553E-2</v>
      </c>
      <c r="Q101" s="298">
        <v>3.5922322150466021E-2</v>
      </c>
      <c r="R101" s="298">
        <v>3.4556391879303032E-2</v>
      </c>
      <c r="S101" s="298">
        <v>3.4556391879303032E-2</v>
      </c>
      <c r="T101" s="298">
        <v>3.4556391879303032E-2</v>
      </c>
      <c r="U101" s="298">
        <v>3.4556391879303032E-2</v>
      </c>
    </row>
    <row r="102" spans="1:21" ht="14.4" x14ac:dyDescent="0.3">
      <c r="A102" s="43">
        <v>40</v>
      </c>
      <c r="B102" s="43"/>
      <c r="C102" s="1"/>
      <c r="D102" s="298">
        <v>0.15658261184107439</v>
      </c>
      <c r="E102" s="298">
        <v>6.9206297258360139E-2</v>
      </c>
      <c r="F102" s="298">
        <v>0.11719738000471913</v>
      </c>
      <c r="G102" s="298">
        <v>9.0950515996728487E-2</v>
      </c>
      <c r="H102" s="298">
        <v>5.6069430808107633E-2</v>
      </c>
      <c r="I102" s="298">
        <v>0.18457651004529252</v>
      </c>
      <c r="J102" s="298">
        <v>0.21861320828195963</v>
      </c>
      <c r="K102" s="298">
        <v>0.14805460867942424</v>
      </c>
      <c r="L102" s="298">
        <v>0.10865726471480185</v>
      </c>
      <c r="M102" s="298">
        <v>8.7921961526698345E-2</v>
      </c>
      <c r="N102" s="298">
        <v>5.8256465500538285E-2</v>
      </c>
      <c r="O102" s="298">
        <v>4.4253058727944716E-2</v>
      </c>
      <c r="P102" s="298">
        <v>3.9509788445304235E-2</v>
      </c>
      <c r="Q102" s="298">
        <v>2.9542651780987427E-2</v>
      </c>
      <c r="R102" s="298">
        <v>2.8071591122090556E-2</v>
      </c>
      <c r="S102" s="298">
        <v>2.8071591122090556E-2</v>
      </c>
      <c r="T102" s="298">
        <v>2.8071591122090556E-2</v>
      </c>
      <c r="U102" s="298">
        <v>2.8071591122090556E-2</v>
      </c>
    </row>
    <row r="103" spans="1:21" ht="14.4" x14ac:dyDescent="0.3">
      <c r="A103" s="43">
        <v>41</v>
      </c>
      <c r="B103" s="43"/>
      <c r="C103" s="1"/>
      <c r="D103" s="298">
        <v>2.9593523720748518</v>
      </c>
      <c r="E103" s="298">
        <v>1.3960448536050045</v>
      </c>
      <c r="F103" s="298">
        <v>0.9788469484846104</v>
      </c>
      <c r="G103" s="298">
        <v>0.76626902234982497</v>
      </c>
      <c r="H103" s="298">
        <v>0.64986432358583057</v>
      </c>
      <c r="I103" s="298">
        <v>0.49479101470748305</v>
      </c>
      <c r="J103" s="298">
        <v>0.39951328972932304</v>
      </c>
      <c r="K103" s="298">
        <v>0.41594580564321404</v>
      </c>
      <c r="L103" s="298">
        <v>0.37579029347140652</v>
      </c>
      <c r="M103" s="298">
        <v>0.32440122806902955</v>
      </c>
      <c r="N103" s="298">
        <v>0.30529874652047795</v>
      </c>
      <c r="O103" s="298">
        <v>0.272856325769609</v>
      </c>
      <c r="P103" s="298">
        <v>0.23528249165808171</v>
      </c>
      <c r="Q103" s="298">
        <v>0.21930268062364178</v>
      </c>
      <c r="R103" s="298">
        <v>0.21942223358685053</v>
      </c>
      <c r="S103" s="298">
        <v>0.21942223358685053</v>
      </c>
      <c r="T103" s="298">
        <v>0.21942223358685053</v>
      </c>
      <c r="U103" s="298">
        <v>0.21942223358685053</v>
      </c>
    </row>
    <row r="104" spans="1:21" ht="14.4" x14ac:dyDescent="0.3">
      <c r="A104" s="43">
        <v>42</v>
      </c>
      <c r="B104" s="43"/>
      <c r="C104" s="1"/>
      <c r="D104" s="298">
        <v>0.15658261184107439</v>
      </c>
      <c r="E104" s="298">
        <v>6.9206297258360139E-2</v>
      </c>
      <c r="F104" s="298">
        <v>0.11719738000471913</v>
      </c>
      <c r="G104" s="298">
        <v>9.0950515996728487E-2</v>
      </c>
      <c r="H104" s="298">
        <v>5.6069430808107633E-2</v>
      </c>
      <c r="I104" s="298">
        <v>0.18457651004529252</v>
      </c>
      <c r="J104" s="298">
        <v>0.21861320828195963</v>
      </c>
      <c r="K104" s="298">
        <v>0.14805460867942424</v>
      </c>
      <c r="L104" s="298">
        <v>0.10865726471480185</v>
      </c>
      <c r="M104" s="298">
        <v>8.7921961526698345E-2</v>
      </c>
      <c r="N104" s="298">
        <v>5.8256465500538285E-2</v>
      </c>
      <c r="O104" s="298">
        <v>4.4253058727944716E-2</v>
      </c>
      <c r="P104" s="298">
        <v>3.9509788445304235E-2</v>
      </c>
      <c r="Q104" s="298">
        <v>2.9542651780987427E-2</v>
      </c>
      <c r="R104" s="298">
        <v>2.8071591122090556E-2</v>
      </c>
      <c r="S104" s="298">
        <v>2.8071591122090556E-2</v>
      </c>
      <c r="T104" s="298">
        <v>2.8071591122090556E-2</v>
      </c>
      <c r="U104" s="298">
        <v>2.8071591122090556E-2</v>
      </c>
    </row>
    <row r="105" spans="1:21" ht="14.4" x14ac:dyDescent="0.3">
      <c r="A105" s="43">
        <v>43</v>
      </c>
      <c r="B105" s="43"/>
      <c r="C105" s="1"/>
      <c r="D105" s="298">
        <v>2.2178560512821952</v>
      </c>
      <c r="E105" s="298">
        <v>1.1905972320783262</v>
      </c>
      <c r="F105" s="298">
        <v>0.75615175660327605</v>
      </c>
      <c r="G105" s="298">
        <v>0.45362551647456517</v>
      </c>
      <c r="H105" s="298">
        <v>0.28528173727691464</v>
      </c>
      <c r="I105" s="298">
        <v>0.21779752656057286</v>
      </c>
      <c r="J105" s="298">
        <v>0.25538951981730396</v>
      </c>
      <c r="K105" s="298">
        <v>0.24818871965708805</v>
      </c>
      <c r="L105" s="298">
        <v>0.22308863199724832</v>
      </c>
      <c r="M105" s="298">
        <v>0.19779080449305989</v>
      </c>
      <c r="N105" s="298">
        <v>0.1877023014843526</v>
      </c>
      <c r="O105" s="298">
        <v>0.18024721970812474</v>
      </c>
      <c r="P105" s="298">
        <v>0.14969356494618877</v>
      </c>
      <c r="Q105" s="298">
        <v>0.15402172112964774</v>
      </c>
      <c r="R105" s="298">
        <v>0.14788153997371078</v>
      </c>
      <c r="S105" s="298">
        <v>0.14788153997371078</v>
      </c>
      <c r="T105" s="298">
        <v>0.14788153997371078</v>
      </c>
      <c r="U105" s="298">
        <v>0.14788153997371078</v>
      </c>
    </row>
    <row r="106" spans="1:21" ht="14.4" x14ac:dyDescent="0.3">
      <c r="A106" s="43">
        <v>44</v>
      </c>
      <c r="B106" s="43"/>
      <c r="C106" s="1"/>
      <c r="D106" s="298">
        <v>0.15658261184107439</v>
      </c>
      <c r="E106" s="298">
        <v>6.9206297258360139E-2</v>
      </c>
      <c r="F106" s="298">
        <v>0.11719738000471913</v>
      </c>
      <c r="G106" s="298">
        <v>9.0950515996728487E-2</v>
      </c>
      <c r="H106" s="298">
        <v>5.6069430808107633E-2</v>
      </c>
      <c r="I106" s="298">
        <v>0.18457651004529252</v>
      </c>
      <c r="J106" s="298">
        <v>0.21861320828195963</v>
      </c>
      <c r="K106" s="298">
        <v>0.14805460867942424</v>
      </c>
      <c r="L106" s="298">
        <v>0.10865726471480185</v>
      </c>
      <c r="M106" s="298">
        <v>8.7921961526698345E-2</v>
      </c>
      <c r="N106" s="298">
        <v>5.8256465500538285E-2</v>
      </c>
      <c r="O106" s="298">
        <v>4.4253058727944716E-2</v>
      </c>
      <c r="P106" s="298">
        <v>3.9509788445304235E-2</v>
      </c>
      <c r="Q106" s="298">
        <v>2.9542651780987427E-2</v>
      </c>
      <c r="R106" s="298">
        <v>2.8071591122090556E-2</v>
      </c>
      <c r="S106" s="298">
        <v>2.8071591122090556E-2</v>
      </c>
      <c r="T106" s="298">
        <v>2.8071591122090556E-2</v>
      </c>
      <c r="U106" s="298">
        <v>2.8071591122090556E-2</v>
      </c>
    </row>
    <row r="107" spans="1:21" ht="14.4" x14ac:dyDescent="0.3">
      <c r="A107" s="43">
        <v>45</v>
      </c>
      <c r="B107" s="43"/>
      <c r="C107" s="1"/>
      <c r="D107" s="298">
        <v>0.15674381381219379</v>
      </c>
      <c r="E107" s="298">
        <v>6.9135515452953725E-2</v>
      </c>
      <c r="F107" s="298">
        <v>0.11721931861181524</v>
      </c>
      <c r="G107" s="298">
        <v>9.0976276916425139E-2</v>
      </c>
      <c r="H107" s="298">
        <v>5.5974795488511517E-2</v>
      </c>
      <c r="I107" s="298">
        <v>0.18455139999068912</v>
      </c>
      <c r="J107" s="298">
        <v>0.21866515563030009</v>
      </c>
      <c r="K107" s="298">
        <v>0.14808361462956454</v>
      </c>
      <c r="L107" s="298">
        <v>0.10867252849450271</v>
      </c>
      <c r="M107" s="298">
        <v>8.7932880027034033E-2</v>
      </c>
      <c r="N107" s="298">
        <v>5.8261619608528936E-2</v>
      </c>
      <c r="O107" s="298">
        <v>4.4254803859095013E-2</v>
      </c>
      <c r="P107" s="298">
        <v>3.9511622355493263E-2</v>
      </c>
      <c r="Q107" s="298">
        <v>2.9543012509050892E-2</v>
      </c>
      <c r="R107" s="298">
        <v>2.8071590865564936E-2</v>
      </c>
      <c r="S107" s="298">
        <v>2.8071590865564936E-2</v>
      </c>
      <c r="T107" s="298">
        <v>2.8071590865564936E-2</v>
      </c>
      <c r="U107" s="298">
        <v>2.8071590865564936E-2</v>
      </c>
    </row>
    <row r="108" spans="1:21" ht="14.4" x14ac:dyDescent="0.3">
      <c r="A108" s="43">
        <v>46</v>
      </c>
      <c r="B108" s="43"/>
      <c r="C108" s="1"/>
      <c r="D108" s="298">
        <v>0.15658261184107439</v>
      </c>
      <c r="E108" s="298">
        <v>6.9206297258360139E-2</v>
      </c>
      <c r="F108" s="298">
        <v>0.11719738000471913</v>
      </c>
      <c r="G108" s="298">
        <v>9.0950515996728487E-2</v>
      </c>
      <c r="H108" s="298">
        <v>5.6069430808107633E-2</v>
      </c>
      <c r="I108" s="298">
        <v>0.18457651004529252</v>
      </c>
      <c r="J108" s="298">
        <v>0.21861320828195963</v>
      </c>
      <c r="K108" s="298">
        <v>0.14805460867942424</v>
      </c>
      <c r="L108" s="298">
        <v>0.10865726471480185</v>
      </c>
      <c r="M108" s="298">
        <v>8.7921961526698345E-2</v>
      </c>
      <c r="N108" s="298">
        <v>5.8256465500538285E-2</v>
      </c>
      <c r="O108" s="298">
        <v>4.4253058727944716E-2</v>
      </c>
      <c r="P108" s="298">
        <v>3.9509788445304235E-2</v>
      </c>
      <c r="Q108" s="298">
        <v>2.9542651780987427E-2</v>
      </c>
      <c r="R108" s="298">
        <v>2.8071591122090556E-2</v>
      </c>
      <c r="S108" s="298">
        <v>2.8071591122090556E-2</v>
      </c>
      <c r="T108" s="298">
        <v>2.8071591122090556E-2</v>
      </c>
      <c r="U108" s="298">
        <v>2.8071591122090556E-2</v>
      </c>
    </row>
    <row r="109" spans="1:21" ht="14.4" x14ac:dyDescent="0.3">
      <c r="A109" s="43">
        <v>47</v>
      </c>
      <c r="B109" s="43"/>
      <c r="C109" s="1"/>
      <c r="D109" s="298">
        <v>2.3268630691236321</v>
      </c>
      <c r="E109" s="298">
        <v>0.78641478977548207</v>
      </c>
      <c r="F109" s="298">
        <v>0.65683719239534155</v>
      </c>
      <c r="G109" s="298">
        <v>0.58143321676267457</v>
      </c>
      <c r="H109" s="298">
        <v>0.44928960665019158</v>
      </c>
      <c r="I109" s="298">
        <v>0.41294151992551731</v>
      </c>
      <c r="J109" s="298">
        <v>0.2940568330031525</v>
      </c>
      <c r="K109" s="298">
        <v>0.2786885915405366</v>
      </c>
      <c r="L109" s="298">
        <v>0.26697263616116279</v>
      </c>
      <c r="M109" s="298">
        <v>0.26064585390490097</v>
      </c>
      <c r="N109" s="298">
        <v>0.2367936036530196</v>
      </c>
      <c r="O109" s="298">
        <v>0.19038468562778788</v>
      </c>
      <c r="P109" s="298">
        <v>0.18456070692514012</v>
      </c>
      <c r="Q109" s="298">
        <v>0.16108516476637483</v>
      </c>
      <c r="R109" s="298">
        <v>0.15522073313539117</v>
      </c>
      <c r="S109" s="298">
        <v>0.15522073313539117</v>
      </c>
      <c r="T109" s="298">
        <v>0.15522073313539117</v>
      </c>
      <c r="U109" s="298">
        <v>0.15522073313539117</v>
      </c>
    </row>
    <row r="110" spans="1:21" ht="14.4" x14ac:dyDescent="0.3">
      <c r="A110" s="43">
        <v>48</v>
      </c>
      <c r="B110" s="43"/>
      <c r="C110" s="1"/>
      <c r="D110" s="298">
        <v>0.15658261184107439</v>
      </c>
      <c r="E110" s="298">
        <v>6.9206297258360139E-2</v>
      </c>
      <c r="F110" s="298">
        <v>0.11719738000471913</v>
      </c>
      <c r="G110" s="298">
        <v>9.0950515996728487E-2</v>
      </c>
      <c r="H110" s="298">
        <v>5.6069430808107633E-2</v>
      </c>
      <c r="I110" s="298">
        <v>0.18457651004529252</v>
      </c>
      <c r="J110" s="298">
        <v>0.21861320828195963</v>
      </c>
      <c r="K110" s="298">
        <v>0.14805460867942424</v>
      </c>
      <c r="L110" s="298">
        <v>0.10865726471480185</v>
      </c>
      <c r="M110" s="298">
        <v>8.7921961526698345E-2</v>
      </c>
      <c r="N110" s="298">
        <v>5.8256465500538285E-2</v>
      </c>
      <c r="O110" s="298">
        <v>4.4253058727944716E-2</v>
      </c>
      <c r="P110" s="298">
        <v>3.9509788445304235E-2</v>
      </c>
      <c r="Q110" s="298">
        <v>2.9542651780987427E-2</v>
      </c>
      <c r="R110" s="298">
        <v>2.8071591122090556E-2</v>
      </c>
      <c r="S110" s="298">
        <v>2.8071591122090556E-2</v>
      </c>
      <c r="T110" s="298">
        <v>2.8071591122090556E-2</v>
      </c>
      <c r="U110" s="298">
        <v>2.8071591122090556E-2</v>
      </c>
    </row>
    <row r="111" spans="1:21" ht="14.4" x14ac:dyDescent="0.3">
      <c r="A111" s="43">
        <v>49</v>
      </c>
      <c r="B111" s="43"/>
      <c r="C111" s="1"/>
      <c r="D111" s="298">
        <v>2.222090686942058</v>
      </c>
      <c r="E111" s="298">
        <v>0.8231320290067401</v>
      </c>
      <c r="F111" s="298">
        <v>0.54372728367538525</v>
      </c>
      <c r="G111" s="298">
        <v>0.33388586731319231</v>
      </c>
      <c r="H111" s="298">
        <v>0.20472977887589594</v>
      </c>
      <c r="I111" s="298">
        <v>0.16067909526322774</v>
      </c>
      <c r="J111" s="298">
        <v>0.19635848943192444</v>
      </c>
      <c r="K111" s="298">
        <v>0.18022284651166184</v>
      </c>
      <c r="L111" s="298">
        <v>0.15241194609444156</v>
      </c>
      <c r="M111" s="298">
        <v>0.14568078669873447</v>
      </c>
      <c r="N111" s="298">
        <v>0.14316623416465049</v>
      </c>
      <c r="O111" s="298">
        <v>0.11820986355275069</v>
      </c>
      <c r="P111" s="298">
        <v>0.11324661442841535</v>
      </c>
      <c r="Q111" s="298">
        <v>0.10591950094820782</v>
      </c>
      <c r="R111" s="298">
        <v>0.10181373046970461</v>
      </c>
      <c r="S111" s="298">
        <v>0.10181373046970461</v>
      </c>
      <c r="T111" s="298">
        <v>0.10181373046970461</v>
      </c>
      <c r="U111" s="298">
        <v>0.10181373046970461</v>
      </c>
    </row>
    <row r="112" spans="1:21" ht="14.4" x14ac:dyDescent="0.3">
      <c r="A112" s="43">
        <v>50</v>
      </c>
      <c r="B112" s="43"/>
      <c r="C112" s="1"/>
      <c r="D112" s="298">
        <v>0.15658261184107439</v>
      </c>
      <c r="E112" s="298">
        <v>6.9206297258360139E-2</v>
      </c>
      <c r="F112" s="298">
        <v>0.11719738000471913</v>
      </c>
      <c r="G112" s="298">
        <v>9.0950515996728487E-2</v>
      </c>
      <c r="H112" s="298">
        <v>5.6069430808107633E-2</v>
      </c>
      <c r="I112" s="298">
        <v>0.18457651004529252</v>
      </c>
      <c r="J112" s="298">
        <v>0.21861320828195963</v>
      </c>
      <c r="K112" s="298">
        <v>0.14805460867942424</v>
      </c>
      <c r="L112" s="298">
        <v>0.10865726471480185</v>
      </c>
      <c r="M112" s="298">
        <v>8.7921961526698345E-2</v>
      </c>
      <c r="N112" s="298">
        <v>5.8256465500538285E-2</v>
      </c>
      <c r="O112" s="298">
        <v>4.4253058727944716E-2</v>
      </c>
      <c r="P112" s="298">
        <v>3.9509788445304235E-2</v>
      </c>
      <c r="Q112" s="298">
        <v>2.9542651780987427E-2</v>
      </c>
      <c r="R112" s="298">
        <v>2.8071591122090556E-2</v>
      </c>
      <c r="S112" s="298">
        <v>2.8071591122090556E-2</v>
      </c>
      <c r="T112" s="298">
        <v>2.8071591122090556E-2</v>
      </c>
      <c r="U112" s="298">
        <v>2.8071591122090556E-2</v>
      </c>
    </row>
    <row r="113" spans="2:21" x14ac:dyDescent="0.25">
      <c r="D113" s="51"/>
    </row>
    <row r="114" spans="2:21" x14ac:dyDescent="0.25">
      <c r="B114" s="26" t="s">
        <v>5</v>
      </c>
      <c r="D114" s="32">
        <f t="shared" ref="D114:U114" si="7">SQRT(SUMSQ(D64:D112))</f>
        <v>163.93774717643851</v>
      </c>
      <c r="E114" s="32">
        <f t="shared" si="7"/>
        <v>113.48802501155089</v>
      </c>
      <c r="F114" s="32">
        <f t="shared" si="7"/>
        <v>92.201479834948017</v>
      </c>
      <c r="G114" s="32">
        <f t="shared" si="7"/>
        <v>70.914070764570482</v>
      </c>
      <c r="H114" s="32">
        <f t="shared" si="7"/>
        <v>54.750054571794223</v>
      </c>
      <c r="I114" s="32">
        <f t="shared" si="7"/>
        <v>45.409107972180678</v>
      </c>
      <c r="J114" s="32">
        <f t="shared" si="7"/>
        <v>40.452846599409661</v>
      </c>
      <c r="K114" s="32">
        <f t="shared" si="7"/>
        <v>36.567604373048553</v>
      </c>
      <c r="L114" s="32">
        <f t="shared" si="7"/>
        <v>33.722497172696237</v>
      </c>
      <c r="M114" s="32">
        <f t="shared" si="7"/>
        <v>31.537820676686238</v>
      </c>
      <c r="N114" s="32">
        <f t="shared" si="7"/>
        <v>28.353599859458789</v>
      </c>
      <c r="O114" s="32">
        <f t="shared" si="7"/>
        <v>26.003967172553079</v>
      </c>
      <c r="P114" s="32">
        <f t="shared" si="7"/>
        <v>24.160245237926446</v>
      </c>
      <c r="Q114" s="32">
        <f t="shared" si="7"/>
        <v>21.249690073067327</v>
      </c>
      <c r="R114" s="32">
        <f t="shared" si="7"/>
        <v>21.247242746791578</v>
      </c>
      <c r="S114" s="32">
        <f t="shared" si="7"/>
        <v>21.247242746791578</v>
      </c>
      <c r="T114" s="32">
        <f t="shared" si="7"/>
        <v>21.247242746791578</v>
      </c>
      <c r="U114" s="32">
        <f t="shared" si="7"/>
        <v>21.247242746791578</v>
      </c>
    </row>
    <row r="116" spans="2:21" x14ac:dyDescent="0.25">
      <c r="D116" s="32"/>
      <c r="E116" s="32"/>
      <c r="F116" s="32"/>
      <c r="G116" s="32"/>
      <c r="H116" s="32"/>
      <c r="I116" s="32"/>
    </row>
    <row r="118" spans="2:21" x14ac:dyDescent="0.25">
      <c r="D118" s="32"/>
      <c r="E118" s="32"/>
      <c r="F118" s="32"/>
      <c r="G118" s="32"/>
      <c r="H118" s="32"/>
      <c r="I118" s="32"/>
    </row>
  </sheetData>
  <pageMargins left="0.75" right="0.75" top="1" bottom="1" header="0.5" footer="0.5"/>
  <pageSetup scale="86" fitToWidth="2" fitToHeight="2" orientation="portrait" r:id="rId1"/>
  <headerFooter alignWithMargins="0">
    <oddHeader>&amp;R&amp;D
&amp;T
rh</oddHeader>
    <oddFooter>&amp;L&amp;F
&amp;A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U118"/>
  <sheetViews>
    <sheetView workbookViewId="0"/>
  </sheetViews>
  <sheetFormatPr defaultRowHeight="13.2" x14ac:dyDescent="0.25"/>
  <cols>
    <col min="1" max="6" width="9.109375" style="26"/>
    <col min="7" max="7" width="9.109375" style="26" customWidth="1"/>
    <col min="8" max="8" width="10.6640625" style="26" customWidth="1"/>
    <col min="9" max="11" width="9.109375" style="26"/>
    <col min="12" max="12" width="9.5546875" style="26" bestFit="1" customWidth="1"/>
    <col min="13" max="14" width="9.109375" style="26" customWidth="1"/>
    <col min="15" max="19" width="9.5546875" style="26" bestFit="1" customWidth="1"/>
    <col min="20" max="262" width="9.109375" style="26"/>
    <col min="263" max="263" width="9.5546875" style="26" bestFit="1" customWidth="1"/>
    <col min="264" max="264" width="10.6640625" style="26" customWidth="1"/>
    <col min="265" max="518" width="9.109375" style="26"/>
    <col min="519" max="519" width="9.5546875" style="26" bestFit="1" customWidth="1"/>
    <col min="520" max="520" width="10.6640625" style="26" customWidth="1"/>
    <col min="521" max="774" width="9.109375" style="26"/>
    <col min="775" max="775" width="9.5546875" style="26" bestFit="1" customWidth="1"/>
    <col min="776" max="776" width="10.6640625" style="26" customWidth="1"/>
    <col min="777" max="1030" width="9.109375" style="26"/>
    <col min="1031" max="1031" width="9.5546875" style="26" bestFit="1" customWidth="1"/>
    <col min="1032" max="1032" width="10.6640625" style="26" customWidth="1"/>
    <col min="1033" max="1286" width="9.109375" style="26"/>
    <col min="1287" max="1287" width="9.5546875" style="26" bestFit="1" customWidth="1"/>
    <col min="1288" max="1288" width="10.6640625" style="26" customWidth="1"/>
    <col min="1289" max="1542" width="9.109375" style="26"/>
    <col min="1543" max="1543" width="9.5546875" style="26" bestFit="1" customWidth="1"/>
    <col min="1544" max="1544" width="10.6640625" style="26" customWidth="1"/>
    <col min="1545" max="1798" width="9.109375" style="26"/>
    <col min="1799" max="1799" width="9.5546875" style="26" bestFit="1" customWidth="1"/>
    <col min="1800" max="1800" width="10.6640625" style="26" customWidth="1"/>
    <col min="1801" max="2054" width="9.109375" style="26"/>
    <col min="2055" max="2055" width="9.5546875" style="26" bestFit="1" customWidth="1"/>
    <col min="2056" max="2056" width="10.6640625" style="26" customWidth="1"/>
    <col min="2057" max="2310" width="9.109375" style="26"/>
    <col min="2311" max="2311" width="9.5546875" style="26" bestFit="1" customWidth="1"/>
    <col min="2312" max="2312" width="10.6640625" style="26" customWidth="1"/>
    <col min="2313" max="2566" width="9.109375" style="26"/>
    <col min="2567" max="2567" width="9.5546875" style="26" bestFit="1" customWidth="1"/>
    <col min="2568" max="2568" width="10.6640625" style="26" customWidth="1"/>
    <col min="2569" max="2822" width="9.109375" style="26"/>
    <col min="2823" max="2823" width="9.5546875" style="26" bestFit="1" customWidth="1"/>
    <col min="2824" max="2824" width="10.6640625" style="26" customWidth="1"/>
    <col min="2825" max="3078" width="9.109375" style="26"/>
    <col min="3079" max="3079" width="9.5546875" style="26" bestFit="1" customWidth="1"/>
    <col min="3080" max="3080" width="10.6640625" style="26" customWidth="1"/>
    <col min="3081" max="3334" width="9.109375" style="26"/>
    <col min="3335" max="3335" width="9.5546875" style="26" bestFit="1" customWidth="1"/>
    <col min="3336" max="3336" width="10.6640625" style="26" customWidth="1"/>
    <col min="3337" max="3590" width="9.109375" style="26"/>
    <col min="3591" max="3591" width="9.5546875" style="26" bestFit="1" customWidth="1"/>
    <col min="3592" max="3592" width="10.6640625" style="26" customWidth="1"/>
    <col min="3593" max="3846" width="9.109375" style="26"/>
    <col min="3847" max="3847" width="9.5546875" style="26" bestFit="1" customWidth="1"/>
    <col min="3848" max="3848" width="10.6640625" style="26" customWidth="1"/>
    <col min="3849" max="4102" width="9.109375" style="26"/>
    <col min="4103" max="4103" width="9.5546875" style="26" bestFit="1" customWidth="1"/>
    <col min="4104" max="4104" width="10.6640625" style="26" customWidth="1"/>
    <col min="4105" max="4358" width="9.109375" style="26"/>
    <col min="4359" max="4359" width="9.5546875" style="26" bestFit="1" customWidth="1"/>
    <col min="4360" max="4360" width="10.6640625" style="26" customWidth="1"/>
    <col min="4361" max="4614" width="9.109375" style="26"/>
    <col min="4615" max="4615" width="9.5546875" style="26" bestFit="1" customWidth="1"/>
    <col min="4616" max="4616" width="10.6640625" style="26" customWidth="1"/>
    <col min="4617" max="4870" width="9.109375" style="26"/>
    <col min="4871" max="4871" width="9.5546875" style="26" bestFit="1" customWidth="1"/>
    <col min="4872" max="4872" width="10.6640625" style="26" customWidth="1"/>
    <col min="4873" max="5126" width="9.109375" style="26"/>
    <col min="5127" max="5127" width="9.5546875" style="26" bestFit="1" customWidth="1"/>
    <col min="5128" max="5128" width="10.6640625" style="26" customWidth="1"/>
    <col min="5129" max="5382" width="9.109375" style="26"/>
    <col min="5383" max="5383" width="9.5546875" style="26" bestFit="1" customWidth="1"/>
    <col min="5384" max="5384" width="10.6640625" style="26" customWidth="1"/>
    <col min="5385" max="5638" width="9.109375" style="26"/>
    <col min="5639" max="5639" width="9.5546875" style="26" bestFit="1" customWidth="1"/>
    <col min="5640" max="5640" width="10.6640625" style="26" customWidth="1"/>
    <col min="5641" max="5894" width="9.109375" style="26"/>
    <col min="5895" max="5895" width="9.5546875" style="26" bestFit="1" customWidth="1"/>
    <col min="5896" max="5896" width="10.6640625" style="26" customWidth="1"/>
    <col min="5897" max="6150" width="9.109375" style="26"/>
    <col min="6151" max="6151" width="9.5546875" style="26" bestFit="1" customWidth="1"/>
    <col min="6152" max="6152" width="10.6640625" style="26" customWidth="1"/>
    <col min="6153" max="6406" width="9.109375" style="26"/>
    <col min="6407" max="6407" width="9.5546875" style="26" bestFit="1" customWidth="1"/>
    <col min="6408" max="6408" width="10.6640625" style="26" customWidth="1"/>
    <col min="6409" max="6662" width="9.109375" style="26"/>
    <col min="6663" max="6663" width="9.5546875" style="26" bestFit="1" customWidth="1"/>
    <col min="6664" max="6664" width="10.6640625" style="26" customWidth="1"/>
    <col min="6665" max="6918" width="9.109375" style="26"/>
    <col min="6919" max="6919" width="9.5546875" style="26" bestFit="1" customWidth="1"/>
    <col min="6920" max="6920" width="10.6640625" style="26" customWidth="1"/>
    <col min="6921" max="7174" width="9.109375" style="26"/>
    <col min="7175" max="7175" width="9.5546875" style="26" bestFit="1" customWidth="1"/>
    <col min="7176" max="7176" width="10.6640625" style="26" customWidth="1"/>
    <col min="7177" max="7430" width="9.109375" style="26"/>
    <col min="7431" max="7431" width="9.5546875" style="26" bestFit="1" customWidth="1"/>
    <col min="7432" max="7432" width="10.6640625" style="26" customWidth="1"/>
    <col min="7433" max="7686" width="9.109375" style="26"/>
    <col min="7687" max="7687" width="9.5546875" style="26" bestFit="1" customWidth="1"/>
    <col min="7688" max="7688" width="10.6640625" style="26" customWidth="1"/>
    <col min="7689" max="7942" width="9.109375" style="26"/>
    <col min="7943" max="7943" width="9.5546875" style="26" bestFit="1" customWidth="1"/>
    <col min="7944" max="7944" width="10.6640625" style="26" customWidth="1"/>
    <col min="7945" max="8198" width="9.109375" style="26"/>
    <col min="8199" max="8199" width="9.5546875" style="26" bestFit="1" customWidth="1"/>
    <col min="8200" max="8200" width="10.6640625" style="26" customWidth="1"/>
    <col min="8201" max="8454" width="9.109375" style="26"/>
    <col min="8455" max="8455" width="9.5546875" style="26" bestFit="1" customWidth="1"/>
    <col min="8456" max="8456" width="10.6640625" style="26" customWidth="1"/>
    <col min="8457" max="8710" width="9.109375" style="26"/>
    <col min="8711" max="8711" width="9.5546875" style="26" bestFit="1" customWidth="1"/>
    <col min="8712" max="8712" width="10.6640625" style="26" customWidth="1"/>
    <col min="8713" max="8966" width="9.109375" style="26"/>
    <col min="8967" max="8967" width="9.5546875" style="26" bestFit="1" customWidth="1"/>
    <col min="8968" max="8968" width="10.6640625" style="26" customWidth="1"/>
    <col min="8969" max="9222" width="9.109375" style="26"/>
    <col min="9223" max="9223" width="9.5546875" style="26" bestFit="1" customWidth="1"/>
    <col min="9224" max="9224" width="10.6640625" style="26" customWidth="1"/>
    <col min="9225" max="9478" width="9.109375" style="26"/>
    <col min="9479" max="9479" width="9.5546875" style="26" bestFit="1" customWidth="1"/>
    <col min="9480" max="9480" width="10.6640625" style="26" customWidth="1"/>
    <col min="9481" max="9734" width="9.109375" style="26"/>
    <col min="9735" max="9735" width="9.5546875" style="26" bestFit="1" customWidth="1"/>
    <col min="9736" max="9736" width="10.6640625" style="26" customWidth="1"/>
    <col min="9737" max="9990" width="9.109375" style="26"/>
    <col min="9991" max="9991" width="9.5546875" style="26" bestFit="1" customWidth="1"/>
    <col min="9992" max="9992" width="10.6640625" style="26" customWidth="1"/>
    <col min="9993" max="10246" width="9.109375" style="26"/>
    <col min="10247" max="10247" width="9.5546875" style="26" bestFit="1" customWidth="1"/>
    <col min="10248" max="10248" width="10.6640625" style="26" customWidth="1"/>
    <col min="10249" max="10502" width="9.109375" style="26"/>
    <col min="10503" max="10503" width="9.5546875" style="26" bestFit="1" customWidth="1"/>
    <col min="10504" max="10504" width="10.6640625" style="26" customWidth="1"/>
    <col min="10505" max="10758" width="9.109375" style="26"/>
    <col min="10759" max="10759" width="9.5546875" style="26" bestFit="1" customWidth="1"/>
    <col min="10760" max="10760" width="10.6640625" style="26" customWidth="1"/>
    <col min="10761" max="11014" width="9.109375" style="26"/>
    <col min="11015" max="11015" width="9.5546875" style="26" bestFit="1" customWidth="1"/>
    <col min="11016" max="11016" width="10.6640625" style="26" customWidth="1"/>
    <col min="11017" max="11270" width="9.109375" style="26"/>
    <col min="11271" max="11271" width="9.5546875" style="26" bestFit="1" customWidth="1"/>
    <col min="11272" max="11272" width="10.6640625" style="26" customWidth="1"/>
    <col min="11273" max="11526" width="9.109375" style="26"/>
    <col min="11527" max="11527" width="9.5546875" style="26" bestFit="1" customWidth="1"/>
    <col min="11528" max="11528" width="10.6640625" style="26" customWidth="1"/>
    <col min="11529" max="11782" width="9.109375" style="26"/>
    <col min="11783" max="11783" width="9.5546875" style="26" bestFit="1" customWidth="1"/>
    <col min="11784" max="11784" width="10.6640625" style="26" customWidth="1"/>
    <col min="11785" max="12038" width="9.109375" style="26"/>
    <col min="12039" max="12039" width="9.5546875" style="26" bestFit="1" customWidth="1"/>
    <col min="12040" max="12040" width="10.6640625" style="26" customWidth="1"/>
    <col min="12041" max="12294" width="9.109375" style="26"/>
    <col min="12295" max="12295" width="9.5546875" style="26" bestFit="1" customWidth="1"/>
    <col min="12296" max="12296" width="10.6640625" style="26" customWidth="1"/>
    <col min="12297" max="12550" width="9.109375" style="26"/>
    <col min="12551" max="12551" width="9.5546875" style="26" bestFit="1" customWidth="1"/>
    <col min="12552" max="12552" width="10.6640625" style="26" customWidth="1"/>
    <col min="12553" max="12806" width="9.109375" style="26"/>
    <col min="12807" max="12807" width="9.5546875" style="26" bestFit="1" customWidth="1"/>
    <col min="12808" max="12808" width="10.6640625" style="26" customWidth="1"/>
    <col min="12809" max="13062" width="9.109375" style="26"/>
    <col min="13063" max="13063" width="9.5546875" style="26" bestFit="1" customWidth="1"/>
    <col min="13064" max="13064" width="10.6640625" style="26" customWidth="1"/>
    <col min="13065" max="13318" width="9.109375" style="26"/>
    <col min="13319" max="13319" width="9.5546875" style="26" bestFit="1" customWidth="1"/>
    <col min="13320" max="13320" width="10.6640625" style="26" customWidth="1"/>
    <col min="13321" max="13574" width="9.109375" style="26"/>
    <col min="13575" max="13575" width="9.5546875" style="26" bestFit="1" customWidth="1"/>
    <col min="13576" max="13576" width="10.6640625" style="26" customWidth="1"/>
    <col min="13577" max="13830" width="9.109375" style="26"/>
    <col min="13831" max="13831" width="9.5546875" style="26" bestFit="1" customWidth="1"/>
    <col min="13832" max="13832" width="10.6640625" style="26" customWidth="1"/>
    <col min="13833" max="14086" width="9.109375" style="26"/>
    <col min="14087" max="14087" width="9.5546875" style="26" bestFit="1" customWidth="1"/>
    <col min="14088" max="14088" width="10.6640625" style="26" customWidth="1"/>
    <col min="14089" max="14342" width="9.109375" style="26"/>
    <col min="14343" max="14343" width="9.5546875" style="26" bestFit="1" customWidth="1"/>
    <col min="14344" max="14344" width="10.6640625" style="26" customWidth="1"/>
    <col min="14345" max="14598" width="9.109375" style="26"/>
    <col min="14599" max="14599" width="9.5546875" style="26" bestFit="1" customWidth="1"/>
    <col min="14600" max="14600" width="10.6640625" style="26" customWidth="1"/>
    <col min="14601" max="14854" width="9.109375" style="26"/>
    <col min="14855" max="14855" width="9.5546875" style="26" bestFit="1" customWidth="1"/>
    <col min="14856" max="14856" width="10.6640625" style="26" customWidth="1"/>
    <col min="14857" max="15110" width="9.109375" style="26"/>
    <col min="15111" max="15111" width="9.5546875" style="26" bestFit="1" customWidth="1"/>
    <col min="15112" max="15112" width="10.6640625" style="26" customWidth="1"/>
    <col min="15113" max="15366" width="9.109375" style="26"/>
    <col min="15367" max="15367" width="9.5546875" style="26" bestFit="1" customWidth="1"/>
    <col min="15368" max="15368" width="10.6640625" style="26" customWidth="1"/>
    <col min="15369" max="15622" width="9.109375" style="26"/>
    <col min="15623" max="15623" width="9.5546875" style="26" bestFit="1" customWidth="1"/>
    <col min="15624" max="15624" width="10.6640625" style="26" customWidth="1"/>
    <col min="15625" max="15878" width="9.109375" style="26"/>
    <col min="15879" max="15879" width="9.5546875" style="26" bestFit="1" customWidth="1"/>
    <col min="15880" max="15880" width="10.6640625" style="26" customWidth="1"/>
    <col min="15881" max="16134" width="9.109375" style="26"/>
    <col min="16135" max="16135" width="9.5546875" style="26" bestFit="1" customWidth="1"/>
    <col min="16136" max="16136" width="10.6640625" style="26" customWidth="1"/>
    <col min="16137" max="16384" width="9.109375" style="26"/>
  </cols>
  <sheetData>
    <row r="1" spans="1:15" ht="13.8" thickBot="1" x14ac:dyDescent="0.3">
      <c r="A1" s="84" t="s">
        <v>274</v>
      </c>
      <c r="B1" s="275" t="s">
        <v>402</v>
      </c>
      <c r="C1" s="33">
        <f>Drives!BA11</f>
        <v>38490.017945975058</v>
      </c>
      <c r="D1" s="28" t="s">
        <v>7</v>
      </c>
      <c r="E1" s="300">
        <v>7</v>
      </c>
      <c r="F1" s="301">
        <f>MAX(0.1,E1+100/C1)</f>
        <v>7.0025980762113536</v>
      </c>
      <c r="G1" s="36" t="s">
        <v>1</v>
      </c>
      <c r="H1" s="29">
        <f>IF(J1=0,0,H4/J1)</f>
        <v>0</v>
      </c>
      <c r="I1" s="54" t="s">
        <v>94</v>
      </c>
      <c r="J1" s="34">
        <f>Drives!Z11</f>
        <v>0</v>
      </c>
      <c r="K1" s="26" t="s">
        <v>84</v>
      </c>
      <c r="N1" s="256">
        <v>0.96</v>
      </c>
      <c r="O1" s="26" t="s">
        <v>176</v>
      </c>
    </row>
    <row r="2" spans="1:15" x14ac:dyDescent="0.25">
      <c r="A2" s="272" t="s">
        <v>88</v>
      </c>
      <c r="B2" s="276">
        <v>11</v>
      </c>
      <c r="D2" s="26">
        <f>C4+1</f>
        <v>9</v>
      </c>
      <c r="E2" s="27">
        <f>F1-C3</f>
        <v>2.5980762113535505E-3</v>
      </c>
      <c r="J2" s="29">
        <f>IF(J1&gt;=0.6, 0.7+(J1-0.6)*0.75, IF(J1&gt;=0.2, 0.3+(J1-0.2)*1, J1*1.5))</f>
        <v>0</v>
      </c>
      <c r="K2" s="26" t="s">
        <v>60</v>
      </c>
    </row>
    <row r="3" spans="1:15" ht="13.8" thickBot="1" x14ac:dyDescent="0.3">
      <c r="A3" s="43" t="s">
        <v>89</v>
      </c>
      <c r="C3" s="41">
        <f>HLOOKUP($F$1,$D$62:$U$113,(B3+1))</f>
        <v>7</v>
      </c>
      <c r="D3" s="41">
        <f>HLOOKUP($D$2,$D$61:$U$113,(B3+2))</f>
        <v>8</v>
      </c>
      <c r="E3" s="26">
        <f>D3-C3</f>
        <v>1</v>
      </c>
      <c r="F3" s="26">
        <f>IF(E3=0,1,E2/E3)</f>
        <v>2.5980762113535505E-3</v>
      </c>
      <c r="G3" s="27">
        <f>C3+(E3*F3)</f>
        <v>7.0025980762113536</v>
      </c>
      <c r="J3" s="31"/>
    </row>
    <row r="4" spans="1:15" ht="13.8" thickBot="1" x14ac:dyDescent="0.3">
      <c r="A4" s="43" t="s">
        <v>90</v>
      </c>
      <c r="B4" s="26">
        <v>1</v>
      </c>
      <c r="C4" s="36">
        <f t="shared" ref="C4:C53" si="0">HLOOKUP($F$1,$D$62:$U$113,(B4+1))</f>
        <v>8</v>
      </c>
      <c r="D4" s="36">
        <f t="shared" ref="D4:D53" si="1">HLOOKUP($D$2,$D$61:$U$113,(B4+2))</f>
        <v>9</v>
      </c>
      <c r="G4" s="27">
        <v>100</v>
      </c>
      <c r="H4" s="34">
        <f>Drives!AR11</f>
        <v>0</v>
      </c>
      <c r="I4" s="26" t="s">
        <v>53</v>
      </c>
    </row>
    <row r="5" spans="1:15" x14ac:dyDescent="0.25">
      <c r="A5" s="31"/>
      <c r="B5" s="26">
        <v>2</v>
      </c>
      <c r="C5" s="52">
        <f t="shared" si="0"/>
        <v>1.1120918013740941E-2</v>
      </c>
      <c r="D5" s="52">
        <f t="shared" si="1"/>
        <v>1.2571907703050382E-2</v>
      </c>
      <c r="E5" s="48">
        <f t="shared" ref="E5:E53" si="2">D5-C5</f>
        <v>1.4509896893094409E-3</v>
      </c>
      <c r="F5" s="48">
        <f t="shared" ref="F5:F53" si="3">E5*$F$3</f>
        <v>3.7697817947141374E-6</v>
      </c>
      <c r="G5" s="48">
        <f t="shared" ref="G5:G53" si="4">C5+F5</f>
        <v>1.1124687795535656E-2</v>
      </c>
      <c r="H5" s="30">
        <f>J$2*G5*$H$1/100</f>
        <v>0</v>
      </c>
    </row>
    <row r="6" spans="1:15" x14ac:dyDescent="0.25">
      <c r="A6" s="270" t="s">
        <v>407</v>
      </c>
      <c r="B6" s="26">
        <v>3</v>
      </c>
      <c r="C6" s="52">
        <f t="shared" si="0"/>
        <v>3.7115343236794409</v>
      </c>
      <c r="D6" s="52">
        <f t="shared" si="1"/>
        <v>2.8652501742303245</v>
      </c>
      <c r="E6" s="48">
        <f t="shared" si="2"/>
        <v>-0.84628414944911645</v>
      </c>
      <c r="F6" s="48">
        <f t="shared" si="3"/>
        <v>-2.1987107167293226E-3</v>
      </c>
      <c r="G6" s="48">
        <f t="shared" si="4"/>
        <v>3.7093356129627115</v>
      </c>
      <c r="H6" s="30">
        <f t="shared" ref="H6:H53" si="5">J$2*G6*$H$1/100</f>
        <v>0</v>
      </c>
    </row>
    <row r="7" spans="1:15" x14ac:dyDescent="0.25">
      <c r="A7" s="270" t="s">
        <v>92</v>
      </c>
      <c r="B7" s="26">
        <v>4</v>
      </c>
      <c r="C7" s="52">
        <f t="shared" si="0"/>
        <v>2.2309871990685983E-2</v>
      </c>
      <c r="D7" s="52">
        <f t="shared" si="1"/>
        <v>1.4672119245636975E-2</v>
      </c>
      <c r="E7" s="48">
        <f t="shared" si="2"/>
        <v>-7.637752745049008E-3</v>
      </c>
      <c r="F7" s="48">
        <f t="shared" si="3"/>
        <v>-1.9843463715112105E-5</v>
      </c>
      <c r="G7" s="48">
        <f t="shared" si="4"/>
        <v>2.229002852697087E-2</v>
      </c>
      <c r="H7" s="30">
        <f t="shared" si="5"/>
        <v>0</v>
      </c>
    </row>
    <row r="8" spans="1:15" x14ac:dyDescent="0.25">
      <c r="A8" s="50"/>
      <c r="B8" s="26">
        <v>5</v>
      </c>
      <c r="C8" s="52">
        <f t="shared" si="0"/>
        <v>31.801834469310585</v>
      </c>
      <c r="D8" s="52">
        <f t="shared" si="1"/>
        <v>29.833911528390878</v>
      </c>
      <c r="E8" s="48">
        <f t="shared" si="2"/>
        <v>-1.9679229409197063</v>
      </c>
      <c r="F8" s="48">
        <f t="shared" si="3"/>
        <v>-5.1128137785804075E-3</v>
      </c>
      <c r="G8" s="48">
        <f t="shared" si="4"/>
        <v>31.796721655532004</v>
      </c>
      <c r="H8" s="30">
        <f t="shared" si="5"/>
        <v>0</v>
      </c>
    </row>
    <row r="9" spans="1:15" x14ac:dyDescent="0.25">
      <c r="A9" s="50"/>
      <c r="B9" s="26">
        <v>6</v>
      </c>
      <c r="C9" s="52">
        <f t="shared" si="0"/>
        <v>6.0169639857389576E-3</v>
      </c>
      <c r="D9" s="52">
        <f t="shared" si="1"/>
        <v>7.3330327729595772E-3</v>
      </c>
      <c r="E9" s="48">
        <f t="shared" si="2"/>
        <v>1.3160687872206195E-3</v>
      </c>
      <c r="F9" s="48">
        <f t="shared" si="3"/>
        <v>3.4192470085828091E-6</v>
      </c>
      <c r="G9" s="48">
        <f t="shared" si="4"/>
        <v>6.0203832327475407E-3</v>
      </c>
      <c r="H9" s="30">
        <f t="shared" si="5"/>
        <v>0</v>
      </c>
    </row>
    <row r="10" spans="1:15" x14ac:dyDescent="0.25">
      <c r="B10" s="26">
        <v>7</v>
      </c>
      <c r="C10" s="52">
        <f t="shared" si="0"/>
        <v>7.3447486655802345</v>
      </c>
      <c r="D10" s="52">
        <f t="shared" si="1"/>
        <v>6.8022663683683335</v>
      </c>
      <c r="E10" s="48">
        <f t="shared" si="2"/>
        <v>-0.542482297211901</v>
      </c>
      <c r="F10" s="48">
        <f t="shared" si="3"/>
        <v>-1.4094103514666666E-3</v>
      </c>
      <c r="G10" s="48">
        <f t="shared" si="4"/>
        <v>7.3433392552287682</v>
      </c>
      <c r="H10" s="30">
        <f t="shared" si="5"/>
        <v>0</v>
      </c>
    </row>
    <row r="11" spans="1:15" x14ac:dyDescent="0.25">
      <c r="B11" s="26">
        <v>8</v>
      </c>
      <c r="C11" s="52">
        <f t="shared" si="0"/>
        <v>1.0643351525778579E-2</v>
      </c>
      <c r="D11" s="52">
        <f t="shared" si="1"/>
        <v>4.3473848598230228E-3</v>
      </c>
      <c r="E11" s="48">
        <f t="shared" si="2"/>
        <v>-6.2959666659555564E-3</v>
      </c>
      <c r="F11" s="48">
        <f t="shared" si="3"/>
        <v>-1.6357401222294056E-5</v>
      </c>
      <c r="G11" s="48">
        <f t="shared" si="4"/>
        <v>1.0626994124556284E-2</v>
      </c>
      <c r="H11" s="30">
        <f t="shared" si="5"/>
        <v>0</v>
      </c>
    </row>
    <row r="12" spans="1:15" x14ac:dyDescent="0.25">
      <c r="B12" s="26">
        <v>9</v>
      </c>
      <c r="C12" s="52">
        <f t="shared" si="0"/>
        <v>0.68104076968532634</v>
      </c>
      <c r="D12" s="52">
        <f t="shared" si="1"/>
        <v>0.50610374236669098</v>
      </c>
      <c r="E12" s="48">
        <f t="shared" si="2"/>
        <v>-0.17493702731863536</v>
      </c>
      <c r="F12" s="48">
        <f t="shared" si="3"/>
        <v>-4.5449972916145271E-4</v>
      </c>
      <c r="G12" s="48">
        <f t="shared" si="4"/>
        <v>0.68058626995616489</v>
      </c>
      <c r="H12" s="30">
        <f t="shared" si="5"/>
        <v>0</v>
      </c>
    </row>
    <row r="13" spans="1:15" x14ac:dyDescent="0.25">
      <c r="B13" s="26">
        <v>10</v>
      </c>
      <c r="C13" s="52">
        <f t="shared" si="0"/>
        <v>6.6241460677741474E-3</v>
      </c>
      <c r="D13" s="52">
        <f t="shared" si="1"/>
        <v>9.5446111698385379E-4</v>
      </c>
      <c r="E13" s="48">
        <f t="shared" si="2"/>
        <v>-5.6696849507902932E-3</v>
      </c>
      <c r="F13" s="48">
        <f t="shared" si="3"/>
        <v>-1.4730273596517486E-5</v>
      </c>
      <c r="G13" s="48">
        <f t="shared" si="4"/>
        <v>6.6094157941776303E-3</v>
      </c>
      <c r="H13" s="30">
        <f t="shared" si="5"/>
        <v>0</v>
      </c>
    </row>
    <row r="14" spans="1:15" x14ac:dyDescent="0.25">
      <c r="B14" s="26">
        <v>11</v>
      </c>
      <c r="C14" s="52">
        <f t="shared" si="0"/>
        <v>6.0786150094839924</v>
      </c>
      <c r="D14" s="52">
        <f t="shared" si="1"/>
        <v>5.6151234987755405</v>
      </c>
      <c r="E14" s="48">
        <f t="shared" si="2"/>
        <v>-0.46349151070845185</v>
      </c>
      <c r="F14" s="48">
        <f t="shared" si="3"/>
        <v>-1.2041862681359482E-3</v>
      </c>
      <c r="G14" s="48">
        <f t="shared" si="4"/>
        <v>6.0774108232158568</v>
      </c>
      <c r="H14" s="30">
        <f t="shared" si="5"/>
        <v>0</v>
      </c>
    </row>
    <row r="15" spans="1:15" x14ac:dyDescent="0.25">
      <c r="B15" s="26">
        <v>12</v>
      </c>
      <c r="C15" s="52">
        <f t="shared" si="0"/>
        <v>7.2345470714335765E-4</v>
      </c>
      <c r="D15" s="52">
        <f t="shared" si="1"/>
        <v>2.8137542278655172E-3</v>
      </c>
      <c r="E15" s="48">
        <f t="shared" si="2"/>
        <v>2.0902995207221593E-3</v>
      </c>
      <c r="F15" s="48">
        <f t="shared" si="3"/>
        <v>5.4307574593919701E-6</v>
      </c>
      <c r="G15" s="48">
        <f t="shared" si="4"/>
        <v>7.2888546460274958E-4</v>
      </c>
      <c r="H15" s="30">
        <f t="shared" si="5"/>
        <v>0</v>
      </c>
    </row>
    <row r="16" spans="1:15" x14ac:dyDescent="0.25">
      <c r="B16" s="26">
        <v>13</v>
      </c>
      <c r="C16" s="52">
        <f t="shared" si="0"/>
        <v>3.1590323561450395</v>
      </c>
      <c r="D16" s="52">
        <f t="shared" si="1"/>
        <v>3.1114405010378423</v>
      </c>
      <c r="E16" s="48">
        <f t="shared" si="2"/>
        <v>-4.7591855107197212E-2</v>
      </c>
      <c r="F16" s="48">
        <f t="shared" si="3"/>
        <v>-1.2364726660819405E-4</v>
      </c>
      <c r="G16" s="48">
        <f t="shared" si="4"/>
        <v>3.1589087088784313</v>
      </c>
      <c r="H16" s="30">
        <f t="shared" si="5"/>
        <v>0</v>
      </c>
    </row>
    <row r="17" spans="2:8" x14ac:dyDescent="0.25">
      <c r="B17" s="26">
        <v>14</v>
      </c>
      <c r="C17" s="52">
        <f t="shared" si="0"/>
        <v>1.2922710779955417E-2</v>
      </c>
      <c r="D17" s="52">
        <f t="shared" si="1"/>
        <v>6.7573395777536377E-3</v>
      </c>
      <c r="E17" s="48">
        <f t="shared" si="2"/>
        <v>-6.165371202201779E-3</v>
      </c>
      <c r="F17" s="48">
        <f t="shared" si="3"/>
        <v>-1.6018104254604683E-5</v>
      </c>
      <c r="G17" s="48">
        <f t="shared" si="4"/>
        <v>1.2906692675700812E-2</v>
      </c>
      <c r="H17" s="30">
        <f t="shared" si="5"/>
        <v>0</v>
      </c>
    </row>
    <row r="18" spans="2:8" x14ac:dyDescent="0.25">
      <c r="B18" s="26">
        <v>15</v>
      </c>
      <c r="C18" s="52">
        <f t="shared" si="0"/>
        <v>0.32445444976062632</v>
      </c>
      <c r="D18" s="52">
        <f t="shared" si="1"/>
        <v>0.24590737646040681</v>
      </c>
      <c r="E18" s="48">
        <f t="shared" si="2"/>
        <v>-7.8547073300219511E-2</v>
      </c>
      <c r="F18" s="48">
        <f t="shared" si="3"/>
        <v>-2.0407128261274392E-4</v>
      </c>
      <c r="G18" s="48">
        <f t="shared" si="4"/>
        <v>0.32425037847801358</v>
      </c>
      <c r="H18" s="30">
        <f t="shared" si="5"/>
        <v>0</v>
      </c>
    </row>
    <row r="19" spans="2:8" x14ac:dyDescent="0.25">
      <c r="B19" s="26">
        <v>16</v>
      </c>
      <c r="C19" s="52">
        <f t="shared" si="0"/>
        <v>1.0797812516310075E-2</v>
      </c>
      <c r="D19" s="52">
        <f t="shared" si="1"/>
        <v>4.9258459762198314E-3</v>
      </c>
      <c r="E19" s="48">
        <f t="shared" si="2"/>
        <v>-5.8719665400902435E-3</v>
      </c>
      <c r="F19" s="48">
        <f t="shared" si="3"/>
        <v>-1.5255816581672476E-5</v>
      </c>
      <c r="G19" s="48">
        <f t="shared" si="4"/>
        <v>1.0782556699728402E-2</v>
      </c>
      <c r="H19" s="30">
        <f t="shared" si="5"/>
        <v>0</v>
      </c>
    </row>
    <row r="20" spans="2:8" x14ac:dyDescent="0.25">
      <c r="B20" s="26">
        <v>17</v>
      </c>
      <c r="C20" s="52">
        <f t="shared" si="0"/>
        <v>2.1281057585635259</v>
      </c>
      <c r="D20" s="52">
        <f t="shared" si="1"/>
        <v>1.850567348179557</v>
      </c>
      <c r="E20" s="48">
        <f t="shared" si="2"/>
        <v>-0.27753841038396887</v>
      </c>
      <c r="F20" s="48">
        <f t="shared" si="3"/>
        <v>-7.2106594175546876E-4</v>
      </c>
      <c r="G20" s="48">
        <f t="shared" si="4"/>
        <v>2.1273846926217703</v>
      </c>
      <c r="H20" s="30">
        <f t="shared" si="5"/>
        <v>0</v>
      </c>
    </row>
    <row r="21" spans="2:8" x14ac:dyDescent="0.25">
      <c r="B21" s="26">
        <v>18</v>
      </c>
      <c r="C21" s="52">
        <f t="shared" si="0"/>
        <v>5.3824967182370125E-4</v>
      </c>
      <c r="D21" s="52">
        <f t="shared" si="1"/>
        <v>3.4207800467921257E-3</v>
      </c>
      <c r="E21" s="48">
        <f t="shared" si="2"/>
        <v>2.8825303749684247E-3</v>
      </c>
      <c r="F21" s="48">
        <f t="shared" si="3"/>
        <v>7.4890335957094941E-6</v>
      </c>
      <c r="G21" s="48">
        <f t="shared" si="4"/>
        <v>5.4573870541941075E-4</v>
      </c>
      <c r="H21" s="30">
        <f t="shared" si="5"/>
        <v>0</v>
      </c>
    </row>
    <row r="22" spans="2:8" x14ac:dyDescent="0.25">
      <c r="B22" s="26">
        <v>19</v>
      </c>
      <c r="C22" s="52">
        <f t="shared" si="0"/>
        <v>1.6441205577377018</v>
      </c>
      <c r="D22" s="52">
        <f t="shared" si="1"/>
        <v>1.5015094716885002</v>
      </c>
      <c r="E22" s="48">
        <f t="shared" si="2"/>
        <v>-0.14261108604920159</v>
      </c>
      <c r="F22" s="48">
        <f t="shared" si="3"/>
        <v>-3.7051447013972485E-4</v>
      </c>
      <c r="G22" s="48">
        <f t="shared" si="4"/>
        <v>1.643750043267562</v>
      </c>
      <c r="H22" s="30">
        <f t="shared" si="5"/>
        <v>0</v>
      </c>
    </row>
    <row r="23" spans="2:8" x14ac:dyDescent="0.25">
      <c r="B23" s="26">
        <v>20</v>
      </c>
      <c r="C23" s="52">
        <f t="shared" si="0"/>
        <v>1.0659586926913772E-2</v>
      </c>
      <c r="D23" s="52">
        <f t="shared" si="1"/>
        <v>3.9990621565117561E-3</v>
      </c>
      <c r="E23" s="48">
        <f t="shared" si="2"/>
        <v>-6.6605247704020158E-3</v>
      </c>
      <c r="F23" s="48">
        <f t="shared" si="3"/>
        <v>-1.7304550961112544E-5</v>
      </c>
      <c r="G23" s="48">
        <f t="shared" si="4"/>
        <v>1.0642282375952659E-2</v>
      </c>
      <c r="H23" s="30">
        <f t="shared" si="5"/>
        <v>0</v>
      </c>
    </row>
    <row r="24" spans="2:8" x14ac:dyDescent="0.25">
      <c r="B24" s="26">
        <v>21</v>
      </c>
      <c r="C24" s="52">
        <f t="shared" si="0"/>
        <v>0.24976274080004948</v>
      </c>
      <c r="D24" s="52">
        <f t="shared" si="1"/>
        <v>0.20143664947276263</v>
      </c>
      <c r="E24" s="48">
        <f t="shared" si="2"/>
        <v>-4.8326091327286852E-2</v>
      </c>
      <c r="F24" s="48">
        <f t="shared" si="3"/>
        <v>-1.255548682651231E-4</v>
      </c>
      <c r="G24" s="48">
        <f t="shared" si="4"/>
        <v>0.24963718593178436</v>
      </c>
      <c r="H24" s="30">
        <f t="shared" si="5"/>
        <v>0</v>
      </c>
    </row>
    <row r="25" spans="2:8" x14ac:dyDescent="0.25">
      <c r="B25" s="26">
        <v>22</v>
      </c>
      <c r="C25" s="52">
        <f t="shared" si="0"/>
        <v>8.7776949548354632E-3</v>
      </c>
      <c r="D25" s="52">
        <f t="shared" si="1"/>
        <v>2.8422690440152187E-3</v>
      </c>
      <c r="E25" s="48">
        <f t="shared" si="2"/>
        <v>-5.935425910820245E-3</v>
      </c>
      <c r="F25" s="48">
        <f t="shared" si="3"/>
        <v>-1.542068886315356E-5</v>
      </c>
      <c r="G25" s="48">
        <f t="shared" si="4"/>
        <v>8.7622742659723089E-3</v>
      </c>
      <c r="H25" s="30">
        <f t="shared" si="5"/>
        <v>0</v>
      </c>
    </row>
    <row r="26" spans="2:8" x14ac:dyDescent="0.25">
      <c r="B26" s="26">
        <v>23</v>
      </c>
      <c r="C26" s="52">
        <f t="shared" si="0"/>
        <v>1.0449622436221531</v>
      </c>
      <c r="D26" s="52">
        <f t="shared" si="1"/>
        <v>0.98668776275695924</v>
      </c>
      <c r="E26" s="48">
        <f t="shared" si="2"/>
        <v>-5.8274480865193823E-2</v>
      </c>
      <c r="F26" s="48">
        <f t="shared" si="3"/>
        <v>-1.5140154246483773E-4</v>
      </c>
      <c r="G26" s="48">
        <f t="shared" si="4"/>
        <v>1.0448108420796882</v>
      </c>
      <c r="H26" s="30">
        <f t="shared" si="5"/>
        <v>0</v>
      </c>
    </row>
    <row r="27" spans="2:8" x14ac:dyDescent="0.25">
      <c r="B27" s="26">
        <v>24</v>
      </c>
      <c r="C27" s="52">
        <f t="shared" si="0"/>
        <v>2.3272957918215429E-3</v>
      </c>
      <c r="D27" s="52">
        <f t="shared" si="1"/>
        <v>3.1075268606800422E-3</v>
      </c>
      <c r="E27" s="48">
        <f t="shared" si="2"/>
        <v>7.8023106885849935E-4</v>
      </c>
      <c r="F27" s="48">
        <f t="shared" si="3"/>
        <v>2.0270997793602213E-6</v>
      </c>
      <c r="G27" s="48">
        <f t="shared" si="4"/>
        <v>2.3293228916009029E-3</v>
      </c>
      <c r="H27" s="30">
        <f t="shared" si="5"/>
        <v>0</v>
      </c>
    </row>
    <row r="28" spans="2:8" x14ac:dyDescent="0.25">
      <c r="B28" s="26">
        <v>25</v>
      </c>
      <c r="C28" s="52">
        <f t="shared" si="0"/>
        <v>0.77335390981045959</v>
      </c>
      <c r="D28" s="52">
        <f t="shared" si="1"/>
        <v>0.680943962179267</v>
      </c>
      <c r="E28" s="48">
        <f t="shared" si="2"/>
        <v>-9.240994763119259E-2</v>
      </c>
      <c r="F28" s="48">
        <f t="shared" si="3"/>
        <v>-2.4008808663302886E-4</v>
      </c>
      <c r="G28" s="48">
        <f t="shared" si="4"/>
        <v>0.77311382172382659</v>
      </c>
      <c r="H28" s="30">
        <f t="shared" si="5"/>
        <v>0</v>
      </c>
    </row>
    <row r="29" spans="2:8" x14ac:dyDescent="0.25">
      <c r="B29" s="26">
        <v>26</v>
      </c>
      <c r="C29" s="52">
        <f t="shared" si="0"/>
        <v>1.1502164549246671E-2</v>
      </c>
      <c r="D29" s="52">
        <f t="shared" si="1"/>
        <v>6.3586835670058186E-3</v>
      </c>
      <c r="E29" s="48">
        <f t="shared" si="2"/>
        <v>-5.1434809822408526E-3</v>
      </c>
      <c r="F29" s="48">
        <f t="shared" si="3"/>
        <v>-1.3363155583509354E-5</v>
      </c>
      <c r="G29" s="48">
        <f t="shared" si="4"/>
        <v>1.1488801393663163E-2</v>
      </c>
      <c r="H29" s="30">
        <f t="shared" si="5"/>
        <v>0</v>
      </c>
    </row>
    <row r="30" spans="2:8" x14ac:dyDescent="0.25">
      <c r="B30" s="26">
        <v>27</v>
      </c>
      <c r="C30" s="52">
        <f t="shared" si="0"/>
        <v>0.20563582476045428</v>
      </c>
      <c r="D30" s="52">
        <f t="shared" si="1"/>
        <v>0.15760505021576746</v>
      </c>
      <c r="E30" s="48">
        <f t="shared" si="2"/>
        <v>-4.8030774544686822E-2</v>
      </c>
      <c r="F30" s="48">
        <f t="shared" si="3"/>
        <v>-1.2478761275743649E-4</v>
      </c>
      <c r="G30" s="48">
        <f t="shared" si="4"/>
        <v>0.20551103714769683</v>
      </c>
      <c r="H30" s="30">
        <f t="shared" si="5"/>
        <v>0</v>
      </c>
    </row>
    <row r="31" spans="2:8" x14ac:dyDescent="0.25">
      <c r="B31" s="26">
        <v>28</v>
      </c>
      <c r="C31" s="52">
        <f t="shared" si="0"/>
        <v>9.2930775732190107E-3</v>
      </c>
      <c r="D31" s="52">
        <f t="shared" si="1"/>
        <v>3.3090135809581808E-3</v>
      </c>
      <c r="E31" s="48">
        <f t="shared" si="2"/>
        <v>-5.9840639922608303E-3</v>
      </c>
      <c r="F31" s="48">
        <f t="shared" si="3"/>
        <v>-1.5547054305510222E-5</v>
      </c>
      <c r="G31" s="48">
        <f t="shared" si="4"/>
        <v>9.2775305189134998E-3</v>
      </c>
      <c r="H31" s="30">
        <f t="shared" si="5"/>
        <v>0</v>
      </c>
    </row>
    <row r="32" spans="2:8" x14ac:dyDescent="0.25">
      <c r="B32" s="26">
        <v>29</v>
      </c>
      <c r="C32" s="52">
        <f t="shared" si="0"/>
        <v>0.75575983296320848</v>
      </c>
      <c r="D32" s="52">
        <f t="shared" si="1"/>
        <v>0.72478506133268517</v>
      </c>
      <c r="E32" s="48">
        <f t="shared" si="2"/>
        <v>-3.0974771630523312E-2</v>
      </c>
      <c r="F32" s="48">
        <f t="shared" si="3"/>
        <v>-8.0474817325371448E-5</v>
      </c>
      <c r="G32" s="48">
        <f t="shared" si="4"/>
        <v>0.75567935814588305</v>
      </c>
      <c r="H32" s="30">
        <f t="shared" si="5"/>
        <v>0</v>
      </c>
    </row>
    <row r="33" spans="2:8" x14ac:dyDescent="0.25">
      <c r="B33" s="26">
        <v>30</v>
      </c>
      <c r="C33" s="52">
        <f t="shared" si="0"/>
        <v>1.9564019833816105E-3</v>
      </c>
      <c r="D33" s="52">
        <f t="shared" si="1"/>
        <v>2.8717553777810353E-3</v>
      </c>
      <c r="E33" s="48">
        <f t="shared" si="2"/>
        <v>9.1535339439942484E-4</v>
      </c>
      <c r="F33" s="48">
        <f t="shared" si="3"/>
        <v>2.3781578789708698E-6</v>
      </c>
      <c r="G33" s="48">
        <f t="shared" si="4"/>
        <v>1.9587801412605812E-3</v>
      </c>
      <c r="H33" s="30">
        <f t="shared" si="5"/>
        <v>0</v>
      </c>
    </row>
    <row r="34" spans="2:8" x14ac:dyDescent="0.25">
      <c r="B34" s="26">
        <v>31</v>
      </c>
      <c r="C34" s="52">
        <f t="shared" si="0"/>
        <v>0.42486576546865334</v>
      </c>
      <c r="D34" s="52">
        <f t="shared" si="1"/>
        <v>0.43056874893088998</v>
      </c>
      <c r="E34" s="48">
        <f t="shared" si="2"/>
        <v>5.7029834622366327E-3</v>
      </c>
      <c r="F34" s="48">
        <f t="shared" si="3"/>
        <v>1.4816785666979705E-5</v>
      </c>
      <c r="G34" s="48">
        <f t="shared" si="4"/>
        <v>0.42488058225432035</v>
      </c>
      <c r="H34" s="30">
        <f t="shared" si="5"/>
        <v>0</v>
      </c>
    </row>
    <row r="35" spans="2:8" x14ac:dyDescent="0.25">
      <c r="B35" s="26">
        <v>32</v>
      </c>
      <c r="C35" s="52">
        <f t="shared" si="0"/>
        <v>1.1921658515740853E-2</v>
      </c>
      <c r="D35" s="52">
        <f t="shared" si="1"/>
        <v>5.9187663071225798E-3</v>
      </c>
      <c r="E35" s="48">
        <f t="shared" si="2"/>
        <v>-6.002892208618273E-3</v>
      </c>
      <c r="F35" s="48">
        <f t="shared" si="3"/>
        <v>-1.559597144653071E-5</v>
      </c>
      <c r="G35" s="48">
        <f t="shared" si="4"/>
        <v>1.1906062544294322E-2</v>
      </c>
      <c r="H35" s="30">
        <f t="shared" si="5"/>
        <v>0</v>
      </c>
    </row>
    <row r="36" spans="2:8" x14ac:dyDescent="0.25">
      <c r="B36" s="26">
        <v>33</v>
      </c>
      <c r="C36" s="52">
        <f t="shared" si="0"/>
        <v>0.15381673439332844</v>
      </c>
      <c r="D36" s="52">
        <f t="shared" si="1"/>
        <v>0.11558930646976719</v>
      </c>
      <c r="E36" s="48">
        <f t="shared" si="2"/>
        <v>-3.822742792356125E-2</v>
      </c>
      <c r="F36" s="48">
        <f t="shared" si="3"/>
        <v>-9.9317771109436935E-5</v>
      </c>
      <c r="G36" s="48">
        <f t="shared" si="4"/>
        <v>0.15371741662221899</v>
      </c>
      <c r="H36" s="30">
        <f t="shared" si="5"/>
        <v>0</v>
      </c>
    </row>
    <row r="37" spans="2:8" x14ac:dyDescent="0.25">
      <c r="B37" s="26">
        <v>34</v>
      </c>
      <c r="C37" s="52">
        <f t="shared" si="0"/>
        <v>0.10865726471480185</v>
      </c>
      <c r="D37" s="52">
        <f t="shared" si="1"/>
        <v>8.7921961526698345E-2</v>
      </c>
      <c r="E37" s="48">
        <f t="shared" si="2"/>
        <v>-2.0735303188103502E-2</v>
      </c>
      <c r="F37" s="48">
        <f t="shared" si="3"/>
        <v>-5.3871897948215139E-5</v>
      </c>
      <c r="G37" s="48">
        <f t="shared" si="4"/>
        <v>0.10860339281685363</v>
      </c>
      <c r="H37" s="30">
        <f t="shared" si="5"/>
        <v>0</v>
      </c>
    </row>
    <row r="38" spans="2:8" x14ac:dyDescent="0.25">
      <c r="B38" s="26">
        <v>35</v>
      </c>
      <c r="C38" s="52">
        <f t="shared" si="0"/>
        <v>0.55172205299175037</v>
      </c>
      <c r="D38" s="52">
        <f t="shared" si="1"/>
        <v>0.48796466250698262</v>
      </c>
      <c r="E38" s="48">
        <f t="shared" si="2"/>
        <v>-6.3757390484767751E-2</v>
      </c>
      <c r="F38" s="48">
        <f t="shared" si="3"/>
        <v>-1.6564655951645431E-4</v>
      </c>
      <c r="G38" s="48">
        <f t="shared" si="4"/>
        <v>0.55155640643223391</v>
      </c>
      <c r="H38" s="30">
        <f t="shared" si="5"/>
        <v>0</v>
      </c>
    </row>
    <row r="39" spans="2:8" x14ac:dyDescent="0.25">
      <c r="B39" s="26">
        <v>36</v>
      </c>
      <c r="C39" s="52">
        <f t="shared" si="0"/>
        <v>0.10865726471480185</v>
      </c>
      <c r="D39" s="52">
        <f t="shared" si="1"/>
        <v>8.7921961526698345E-2</v>
      </c>
      <c r="E39" s="48">
        <f t="shared" si="2"/>
        <v>-2.0735303188103502E-2</v>
      </c>
      <c r="F39" s="48">
        <f t="shared" si="3"/>
        <v>-5.3871897948215139E-5</v>
      </c>
      <c r="G39" s="48">
        <f t="shared" si="4"/>
        <v>0.10860339281685363</v>
      </c>
      <c r="H39" s="30">
        <f t="shared" si="5"/>
        <v>0</v>
      </c>
    </row>
    <row r="40" spans="2:8" x14ac:dyDescent="0.25">
      <c r="B40" s="26">
        <v>37</v>
      </c>
      <c r="C40" s="52">
        <f t="shared" si="0"/>
        <v>0.32334277343163409</v>
      </c>
      <c r="D40" s="52">
        <f t="shared" si="1"/>
        <v>0.31458122808120276</v>
      </c>
      <c r="E40" s="48">
        <f t="shared" si="2"/>
        <v>-8.7615453504313323E-3</v>
      </c>
      <c r="F40" s="48">
        <f t="shared" si="3"/>
        <v>-2.276316254965095E-5</v>
      </c>
      <c r="G40" s="48">
        <f t="shared" si="4"/>
        <v>0.32332001026908441</v>
      </c>
      <c r="H40" s="30">
        <f t="shared" si="5"/>
        <v>0</v>
      </c>
    </row>
    <row r="41" spans="2:8" x14ac:dyDescent="0.25">
      <c r="B41" s="26">
        <v>38</v>
      </c>
      <c r="C41" s="52">
        <f t="shared" si="0"/>
        <v>0.10865726471480185</v>
      </c>
      <c r="D41" s="52">
        <f t="shared" si="1"/>
        <v>8.7921961526698345E-2</v>
      </c>
      <c r="E41" s="48">
        <f t="shared" si="2"/>
        <v>-2.0735303188103502E-2</v>
      </c>
      <c r="F41" s="48">
        <f t="shared" si="3"/>
        <v>-5.3871897948215139E-5</v>
      </c>
      <c r="G41" s="48">
        <f t="shared" si="4"/>
        <v>0.10860339281685363</v>
      </c>
      <c r="H41" s="30">
        <f t="shared" si="5"/>
        <v>0</v>
      </c>
    </row>
    <row r="42" spans="2:8" x14ac:dyDescent="0.25">
      <c r="B42" s="26">
        <v>39</v>
      </c>
      <c r="C42" s="52">
        <f t="shared" si="0"/>
        <v>0.12256174642203793</v>
      </c>
      <c r="D42" s="52">
        <f t="shared" si="1"/>
        <v>9.8387203409769475E-2</v>
      </c>
      <c r="E42" s="48">
        <f t="shared" si="2"/>
        <v>-2.4174543012268457E-2</v>
      </c>
      <c r="F42" s="48">
        <f t="shared" si="3"/>
        <v>-6.2807305120517878E-5</v>
      </c>
      <c r="G42" s="48">
        <f t="shared" si="4"/>
        <v>0.12249893911691741</v>
      </c>
      <c r="H42" s="30">
        <f t="shared" si="5"/>
        <v>0</v>
      </c>
    </row>
    <row r="43" spans="2:8" x14ac:dyDescent="0.25">
      <c r="B43" s="26">
        <v>40</v>
      </c>
      <c r="C43" s="52">
        <f t="shared" si="0"/>
        <v>0.10865726471480185</v>
      </c>
      <c r="D43" s="52">
        <f t="shared" si="1"/>
        <v>8.7921961526698345E-2</v>
      </c>
      <c r="E43" s="48">
        <f t="shared" si="2"/>
        <v>-2.0735303188103502E-2</v>
      </c>
      <c r="F43" s="48">
        <f t="shared" si="3"/>
        <v>-5.3871897948215139E-5</v>
      </c>
      <c r="G43" s="48">
        <f t="shared" si="4"/>
        <v>0.10860339281685363</v>
      </c>
      <c r="H43" s="30">
        <f t="shared" si="5"/>
        <v>0</v>
      </c>
    </row>
    <row r="44" spans="2:8" x14ac:dyDescent="0.25">
      <c r="B44" s="26">
        <v>41</v>
      </c>
      <c r="C44" s="52">
        <f t="shared" si="0"/>
        <v>0.37579029347140652</v>
      </c>
      <c r="D44" s="52">
        <f t="shared" si="1"/>
        <v>0.32440122806902955</v>
      </c>
      <c r="E44" s="48">
        <f t="shared" si="2"/>
        <v>-5.1389065402376977E-2</v>
      </c>
      <c r="F44" s="48">
        <f t="shared" si="3"/>
        <v>-1.3351270834560739E-4</v>
      </c>
      <c r="G44" s="48">
        <f t="shared" si="4"/>
        <v>0.37565678076306092</v>
      </c>
      <c r="H44" s="30">
        <f t="shared" si="5"/>
        <v>0</v>
      </c>
    </row>
    <row r="45" spans="2:8" x14ac:dyDescent="0.25">
      <c r="B45" s="26">
        <v>42</v>
      </c>
      <c r="C45" s="52">
        <f t="shared" si="0"/>
        <v>0.10865726471480185</v>
      </c>
      <c r="D45" s="52">
        <f t="shared" si="1"/>
        <v>8.7921961526698345E-2</v>
      </c>
      <c r="E45" s="48">
        <f t="shared" si="2"/>
        <v>-2.0735303188103502E-2</v>
      </c>
      <c r="F45" s="48">
        <f t="shared" si="3"/>
        <v>-5.3871897948215139E-5</v>
      </c>
      <c r="G45" s="48">
        <f t="shared" si="4"/>
        <v>0.10860339281685363</v>
      </c>
      <c r="H45" s="30">
        <f t="shared" si="5"/>
        <v>0</v>
      </c>
    </row>
    <row r="46" spans="2:8" x14ac:dyDescent="0.25">
      <c r="B46" s="26">
        <v>43</v>
      </c>
      <c r="C46" s="52">
        <f t="shared" si="0"/>
        <v>0.22308863199724832</v>
      </c>
      <c r="D46" s="52">
        <f t="shared" si="1"/>
        <v>0.19779080449305989</v>
      </c>
      <c r="E46" s="48">
        <f t="shared" si="2"/>
        <v>-2.5297827504188436E-2</v>
      </c>
      <c r="F46" s="48">
        <f t="shared" si="3"/>
        <v>-6.5725683837557542E-5</v>
      </c>
      <c r="G46" s="48">
        <f t="shared" si="4"/>
        <v>0.22302290631341076</v>
      </c>
      <c r="H46" s="30">
        <f t="shared" si="5"/>
        <v>0</v>
      </c>
    </row>
    <row r="47" spans="2:8" x14ac:dyDescent="0.25">
      <c r="B47" s="26">
        <v>44</v>
      </c>
      <c r="C47" s="52">
        <f t="shared" si="0"/>
        <v>0.10865726471480185</v>
      </c>
      <c r="D47" s="52">
        <f t="shared" si="1"/>
        <v>8.7921961526698345E-2</v>
      </c>
      <c r="E47" s="48">
        <f t="shared" si="2"/>
        <v>-2.0735303188103502E-2</v>
      </c>
      <c r="F47" s="48">
        <f t="shared" si="3"/>
        <v>-5.3871897948215139E-5</v>
      </c>
      <c r="G47" s="48">
        <f t="shared" si="4"/>
        <v>0.10860339281685363</v>
      </c>
      <c r="H47" s="30">
        <f t="shared" si="5"/>
        <v>0</v>
      </c>
    </row>
    <row r="48" spans="2:8" x14ac:dyDescent="0.25">
      <c r="B48" s="26">
        <v>45</v>
      </c>
      <c r="C48" s="52">
        <f t="shared" si="0"/>
        <v>0.10867252849450271</v>
      </c>
      <c r="D48" s="52">
        <f t="shared" si="1"/>
        <v>8.7932880027034033E-2</v>
      </c>
      <c r="E48" s="48">
        <f t="shared" si="2"/>
        <v>-2.0739648467468674E-2</v>
      </c>
      <c r="F48" s="48">
        <f t="shared" si="3"/>
        <v>-5.388318731516548E-5</v>
      </c>
      <c r="G48" s="48">
        <f t="shared" si="4"/>
        <v>0.10861864530718754</v>
      </c>
      <c r="H48" s="30">
        <f t="shared" si="5"/>
        <v>0</v>
      </c>
    </row>
    <row r="49" spans="1:21" x14ac:dyDescent="0.25">
      <c r="B49" s="26">
        <v>46</v>
      </c>
      <c r="C49" s="52">
        <f t="shared" si="0"/>
        <v>0.10865726471480185</v>
      </c>
      <c r="D49" s="52">
        <f t="shared" si="1"/>
        <v>8.7921961526698345E-2</v>
      </c>
      <c r="E49" s="48">
        <f t="shared" si="2"/>
        <v>-2.0735303188103502E-2</v>
      </c>
      <c r="F49" s="48">
        <f t="shared" si="3"/>
        <v>-5.3871897948215139E-5</v>
      </c>
      <c r="G49" s="48">
        <f t="shared" si="4"/>
        <v>0.10860339281685363</v>
      </c>
      <c r="H49" s="30">
        <f t="shared" si="5"/>
        <v>0</v>
      </c>
    </row>
    <row r="50" spans="1:21" x14ac:dyDescent="0.25">
      <c r="B50" s="26">
        <v>47</v>
      </c>
      <c r="C50" s="52">
        <f t="shared" si="0"/>
        <v>0.26697263616116279</v>
      </c>
      <c r="D50" s="52">
        <f t="shared" si="1"/>
        <v>0.26064585390490097</v>
      </c>
      <c r="E50" s="48">
        <f t="shared" si="2"/>
        <v>-6.3267822562618203E-3</v>
      </c>
      <c r="F50" s="48">
        <f t="shared" si="3"/>
        <v>-1.6437462474407578E-5</v>
      </c>
      <c r="G50" s="48">
        <f t="shared" si="4"/>
        <v>0.26695619869868836</v>
      </c>
      <c r="H50" s="30">
        <f t="shared" si="5"/>
        <v>0</v>
      </c>
    </row>
    <row r="51" spans="1:21" x14ac:dyDescent="0.25">
      <c r="B51" s="26">
        <v>48</v>
      </c>
      <c r="C51" s="52">
        <f t="shared" si="0"/>
        <v>0.10865726471480185</v>
      </c>
      <c r="D51" s="52">
        <f t="shared" si="1"/>
        <v>8.7921961526698345E-2</v>
      </c>
      <c r="E51" s="48">
        <f t="shared" si="2"/>
        <v>-2.0735303188103502E-2</v>
      </c>
      <c r="F51" s="48">
        <f t="shared" si="3"/>
        <v>-5.3871897948215139E-5</v>
      </c>
      <c r="G51" s="48">
        <f t="shared" si="4"/>
        <v>0.10860339281685363</v>
      </c>
      <c r="H51" s="30">
        <f t="shared" si="5"/>
        <v>0</v>
      </c>
    </row>
    <row r="52" spans="1:21" x14ac:dyDescent="0.25">
      <c r="B52" s="26">
        <v>49</v>
      </c>
      <c r="C52" s="52">
        <f t="shared" si="0"/>
        <v>0.15241194609444156</v>
      </c>
      <c r="D52" s="52">
        <f t="shared" si="1"/>
        <v>0.14568078669873447</v>
      </c>
      <c r="E52" s="48">
        <f t="shared" si="2"/>
        <v>-6.7311593957070925E-3</v>
      </c>
      <c r="F52" s="48">
        <f t="shared" si="3"/>
        <v>-1.7488065100815539E-5</v>
      </c>
      <c r="G52" s="48">
        <f t="shared" si="4"/>
        <v>0.15239445802934073</v>
      </c>
      <c r="H52" s="30">
        <f t="shared" si="5"/>
        <v>0</v>
      </c>
    </row>
    <row r="53" spans="1:21" x14ac:dyDescent="0.25">
      <c r="B53" s="26">
        <v>50</v>
      </c>
      <c r="C53" s="52">
        <f t="shared" si="0"/>
        <v>0.10865726471480185</v>
      </c>
      <c r="D53" s="52">
        <f t="shared" si="1"/>
        <v>8.7921961526698345E-2</v>
      </c>
      <c r="E53" s="48">
        <f t="shared" si="2"/>
        <v>-2.0735303188103502E-2</v>
      </c>
      <c r="F53" s="48">
        <f t="shared" si="3"/>
        <v>-5.3871897948215139E-5</v>
      </c>
      <c r="G53" s="48">
        <f t="shared" si="4"/>
        <v>0.10860339281685363</v>
      </c>
      <c r="H53" s="30">
        <f t="shared" si="5"/>
        <v>0</v>
      </c>
    </row>
    <row r="54" spans="1:21" x14ac:dyDescent="0.25">
      <c r="E54" s="32"/>
      <c r="F54" s="32"/>
    </row>
    <row r="55" spans="1:21" x14ac:dyDescent="0.25">
      <c r="F55" s="26" t="s">
        <v>85</v>
      </c>
      <c r="G55" s="29">
        <f>IF(H4=0,0,100*H55/H4)</f>
        <v>0</v>
      </c>
      <c r="H55" s="29">
        <f>SQRT(SUMSQ(H5:H53))</f>
        <v>0</v>
      </c>
      <c r="I55" s="26" t="s">
        <v>52</v>
      </c>
    </row>
    <row r="56" spans="1:21" x14ac:dyDescent="0.25">
      <c r="F56" s="26" t="s">
        <v>86</v>
      </c>
      <c r="G56" s="29">
        <f>SQRT(SUMSQ(G4:G53))</f>
        <v>105.53114589677431</v>
      </c>
      <c r="H56" s="29">
        <f>SQRT(SUMSQ(H4:H53))</f>
        <v>0</v>
      </c>
      <c r="I56" s="26" t="s">
        <v>54</v>
      </c>
    </row>
    <row r="57" spans="1:21" x14ac:dyDescent="0.25">
      <c r="G57" s="26" t="s">
        <v>87</v>
      </c>
      <c r="H57" s="26" t="s">
        <v>13</v>
      </c>
    </row>
    <row r="59" spans="1:21" x14ac:dyDescent="0.25">
      <c r="A59" s="25" t="s">
        <v>63</v>
      </c>
      <c r="C59" s="36"/>
      <c r="D59" s="36"/>
      <c r="E59" s="36"/>
      <c r="F59" s="36"/>
      <c r="G59" s="36"/>
      <c r="H59" s="36"/>
      <c r="I59" s="36"/>
      <c r="J59" s="36"/>
      <c r="K59" s="36"/>
      <c r="L59" s="36"/>
      <c r="M59" s="36"/>
      <c r="N59" s="36"/>
      <c r="O59" s="36"/>
      <c r="P59" s="36"/>
      <c r="Q59" s="36"/>
      <c r="R59" s="36"/>
      <c r="S59" s="36"/>
    </row>
    <row r="60" spans="1:21" ht="14.4" x14ac:dyDescent="0.3">
      <c r="C60" s="1" t="s">
        <v>478</v>
      </c>
      <c r="D60" s="7">
        <f>100/D62</f>
        <v>1000</v>
      </c>
      <c r="E60" s="7">
        <f t="shared" ref="E60:U60" si="6">100/E62</f>
        <v>200</v>
      </c>
      <c r="F60" s="7">
        <f t="shared" si="6"/>
        <v>100</v>
      </c>
      <c r="G60" s="7">
        <f t="shared" si="6"/>
        <v>50</v>
      </c>
      <c r="H60" s="7">
        <f t="shared" si="6"/>
        <v>33.333333333333336</v>
      </c>
      <c r="I60" s="7">
        <f t="shared" si="6"/>
        <v>25</v>
      </c>
      <c r="J60" s="7">
        <f t="shared" si="6"/>
        <v>20</v>
      </c>
      <c r="K60" s="7">
        <f t="shared" si="6"/>
        <v>16.666666666666668</v>
      </c>
      <c r="L60" s="7">
        <f t="shared" si="6"/>
        <v>14.285714285714286</v>
      </c>
      <c r="M60" s="7">
        <f t="shared" si="6"/>
        <v>12.5</v>
      </c>
      <c r="N60" s="7">
        <f t="shared" si="6"/>
        <v>10</v>
      </c>
      <c r="O60" s="7">
        <f t="shared" si="6"/>
        <v>8.3333333333333339</v>
      </c>
      <c r="P60" s="7">
        <f t="shared" si="6"/>
        <v>7.1428571428571432</v>
      </c>
      <c r="Q60" s="7">
        <f t="shared" si="6"/>
        <v>5.5555555555555554</v>
      </c>
      <c r="R60" s="7">
        <f t="shared" si="6"/>
        <v>4.7619047619047619</v>
      </c>
      <c r="S60" s="7">
        <f t="shared" si="6"/>
        <v>1</v>
      </c>
      <c r="T60" s="7">
        <f t="shared" si="6"/>
        <v>0.1</v>
      </c>
      <c r="U60" s="7">
        <f t="shared" si="6"/>
        <v>0.01</v>
      </c>
    </row>
    <row r="61" spans="1:21" ht="14.4" x14ac:dyDescent="0.3">
      <c r="C61" s="1" t="s">
        <v>64</v>
      </c>
      <c r="D61">
        <v>0</v>
      </c>
      <c r="E61">
        <v>1</v>
      </c>
      <c r="F61">
        <v>2</v>
      </c>
      <c r="G61">
        <v>3</v>
      </c>
      <c r="H61">
        <v>4</v>
      </c>
      <c r="I61">
        <v>5</v>
      </c>
      <c r="J61">
        <v>6</v>
      </c>
      <c r="K61">
        <v>7</v>
      </c>
      <c r="L61">
        <v>8</v>
      </c>
      <c r="M61">
        <v>9</v>
      </c>
      <c r="N61">
        <v>10</v>
      </c>
      <c r="O61">
        <v>11</v>
      </c>
      <c r="P61">
        <v>12</v>
      </c>
      <c r="Q61">
        <v>13</v>
      </c>
      <c r="R61">
        <v>14</v>
      </c>
      <c r="S61">
        <v>15</v>
      </c>
      <c r="T61">
        <v>16</v>
      </c>
      <c r="U61">
        <v>17</v>
      </c>
    </row>
    <row r="62" spans="1:21" ht="14.4" x14ac:dyDescent="0.3">
      <c r="A62" s="26" t="s">
        <v>65</v>
      </c>
      <c r="B62" s="54"/>
      <c r="C62" s="216" t="s">
        <v>1</v>
      </c>
      <c r="D62" s="296">
        <v>0.1</v>
      </c>
      <c r="E62" s="296">
        <v>0.5</v>
      </c>
      <c r="F62" s="296">
        <v>1</v>
      </c>
      <c r="G62" s="296">
        <v>2</v>
      </c>
      <c r="H62" s="296">
        <v>3</v>
      </c>
      <c r="I62" s="296">
        <v>4</v>
      </c>
      <c r="J62" s="296">
        <v>5</v>
      </c>
      <c r="K62" s="296">
        <v>6</v>
      </c>
      <c r="L62" s="296">
        <v>7</v>
      </c>
      <c r="M62" s="296">
        <v>8</v>
      </c>
      <c r="N62" s="296">
        <v>10</v>
      </c>
      <c r="O62" s="296">
        <v>12</v>
      </c>
      <c r="P62" s="296">
        <v>14</v>
      </c>
      <c r="Q62" s="296">
        <v>18</v>
      </c>
      <c r="R62" s="296">
        <v>21</v>
      </c>
      <c r="S62" s="296">
        <v>100</v>
      </c>
      <c r="T62" s="296">
        <v>1000</v>
      </c>
      <c r="U62" s="296">
        <v>10000</v>
      </c>
    </row>
    <row r="63" spans="1:21" ht="14.4" x14ac:dyDescent="0.3">
      <c r="A63" s="31"/>
      <c r="C63" s="1" t="s">
        <v>64</v>
      </c>
      <c r="D63">
        <v>0</v>
      </c>
      <c r="E63">
        <v>1</v>
      </c>
      <c r="F63">
        <v>2</v>
      </c>
      <c r="G63">
        <v>3</v>
      </c>
      <c r="H63">
        <v>4</v>
      </c>
      <c r="I63">
        <v>5</v>
      </c>
      <c r="J63">
        <v>6</v>
      </c>
      <c r="K63">
        <v>7</v>
      </c>
      <c r="L63">
        <v>8</v>
      </c>
      <c r="M63">
        <v>9</v>
      </c>
      <c r="N63">
        <v>10</v>
      </c>
      <c r="O63">
        <v>11</v>
      </c>
      <c r="P63">
        <v>12</v>
      </c>
      <c r="Q63">
        <v>13</v>
      </c>
      <c r="R63">
        <v>14</v>
      </c>
      <c r="S63">
        <v>15</v>
      </c>
      <c r="T63">
        <v>16</v>
      </c>
      <c r="U63">
        <v>17</v>
      </c>
    </row>
    <row r="64" spans="1:21" ht="14.4" x14ac:dyDescent="0.3">
      <c r="A64" s="43">
        <v>2</v>
      </c>
      <c r="B64" s="43"/>
      <c r="C64" s="1"/>
      <c r="D64" s="298">
        <v>1.7291324964220301E-2</v>
      </c>
      <c r="E64" s="298">
        <v>6.6998018440489568E-2</v>
      </c>
      <c r="F64" s="298">
        <v>0.12416560747379798</v>
      </c>
      <c r="G64" s="298">
        <v>0.19164678959143519</v>
      </c>
      <c r="H64" s="298">
        <v>3.2432337711389723E-2</v>
      </c>
      <c r="I64" s="298">
        <v>2.6794917304969575E-2</v>
      </c>
      <c r="J64" s="298">
        <v>1.0787351058726545E-2</v>
      </c>
      <c r="K64" s="298">
        <v>1.5488830696511377E-2</v>
      </c>
      <c r="L64" s="298">
        <v>1.1120918013740941E-2</v>
      </c>
      <c r="M64" s="298">
        <v>1.2571907703050382E-2</v>
      </c>
      <c r="N64" s="298">
        <v>2.636287592484499E-2</v>
      </c>
      <c r="O64" s="298">
        <v>3.9068771982494086E-3</v>
      </c>
      <c r="P64" s="298">
        <v>1.783236037225493E-2</v>
      </c>
      <c r="Q64" s="298">
        <v>6.5715038062707058E-3</v>
      </c>
      <c r="R64" s="298">
        <v>5.7146036546192576E-3</v>
      </c>
      <c r="S64" s="298">
        <v>5.7146036546192576E-3</v>
      </c>
      <c r="T64" s="298">
        <v>5.7146036546192576E-3</v>
      </c>
      <c r="U64" s="298">
        <v>5.7146036546192576E-3</v>
      </c>
    </row>
    <row r="65" spans="1:21" ht="14.4" x14ac:dyDescent="0.3">
      <c r="A65" s="43">
        <v>3</v>
      </c>
      <c r="B65" s="43"/>
      <c r="C65" s="1"/>
      <c r="D65" s="298">
        <v>0.55385104430828935</v>
      </c>
      <c r="E65" s="298">
        <v>8.5473774716319078</v>
      </c>
      <c r="F65" s="298">
        <v>4.3857615521600959</v>
      </c>
      <c r="G65" s="298">
        <v>4.8916763402676038</v>
      </c>
      <c r="H65" s="298">
        <v>5.107248510230364</v>
      </c>
      <c r="I65" s="298">
        <v>6.2072885442798249</v>
      </c>
      <c r="J65" s="298">
        <v>7.7608557639223745</v>
      </c>
      <c r="K65" s="298">
        <v>5.1365577880102951</v>
      </c>
      <c r="L65" s="298">
        <v>3.7115343236794409</v>
      </c>
      <c r="M65" s="298">
        <v>2.8652501742303245</v>
      </c>
      <c r="N65" s="298">
        <v>1.976424393859703</v>
      </c>
      <c r="O65" s="298">
        <v>1.512989131711088</v>
      </c>
      <c r="P65" s="298">
        <v>1.2479844012146544</v>
      </c>
      <c r="Q65" s="298">
        <v>0.90186138282906037</v>
      </c>
      <c r="R65" s="298">
        <v>0.8611207071065603</v>
      </c>
      <c r="S65" s="298">
        <v>0.8611207071065603</v>
      </c>
      <c r="T65" s="298">
        <v>0.8611207071065603</v>
      </c>
      <c r="U65" s="298">
        <v>0.8611207071065603</v>
      </c>
    </row>
    <row r="66" spans="1:21" ht="14.4" x14ac:dyDescent="0.3">
      <c r="A66" s="43">
        <v>4</v>
      </c>
      <c r="B66" s="43"/>
      <c r="C66" s="1"/>
      <c r="D66" s="298">
        <v>0.13520250276733159</v>
      </c>
      <c r="E66" s="298">
        <v>2.8695360144102396E-2</v>
      </c>
      <c r="F66" s="298">
        <v>0.11237654569855723</v>
      </c>
      <c r="G66" s="298">
        <v>0.1270693443534559</v>
      </c>
      <c r="H66" s="298">
        <v>2.9673650735424224E-2</v>
      </c>
      <c r="I66" s="298">
        <v>2.1212221057019379E-2</v>
      </c>
      <c r="J66" s="298">
        <v>1.8916758051922035E-2</v>
      </c>
      <c r="K66" s="298">
        <v>2.4591818946340816E-2</v>
      </c>
      <c r="L66" s="298">
        <v>2.2309871990685983E-2</v>
      </c>
      <c r="M66" s="298">
        <v>1.4672119245636975E-2</v>
      </c>
      <c r="N66" s="298">
        <v>3.4977738354405041E-3</v>
      </c>
      <c r="O66" s="298">
        <v>3.318391374383355E-3</v>
      </c>
      <c r="P66" s="298">
        <v>1.8380050856337499E-2</v>
      </c>
      <c r="Q66" s="298">
        <v>5.7240454854559945E-3</v>
      </c>
      <c r="R66" s="298">
        <v>1.5847873572736098E-3</v>
      </c>
      <c r="S66" s="298">
        <v>1.5847873572736098E-3</v>
      </c>
      <c r="T66" s="298">
        <v>1.5847873572736098E-3</v>
      </c>
      <c r="U66" s="298">
        <v>1.5847873572736098E-3</v>
      </c>
    </row>
    <row r="67" spans="1:21" ht="14.4" x14ac:dyDescent="0.3">
      <c r="A67" s="43">
        <v>5</v>
      </c>
      <c r="B67" s="43"/>
      <c r="C67" s="1"/>
      <c r="D67" s="298">
        <v>93.368748010282204</v>
      </c>
      <c r="E67" s="298">
        <v>82.87682728374898</v>
      </c>
      <c r="F67" s="298">
        <v>73.247221838386295</v>
      </c>
      <c r="G67" s="298">
        <v>60.831459052554194</v>
      </c>
      <c r="H67" s="298">
        <v>49.382828970020235</v>
      </c>
      <c r="I67" s="298">
        <v>41.72752692184784</v>
      </c>
      <c r="J67" s="298">
        <v>37.27946499417164</v>
      </c>
      <c r="K67" s="298">
        <v>34.240442443062605</v>
      </c>
      <c r="L67" s="298">
        <v>31.801834469310585</v>
      </c>
      <c r="M67" s="298">
        <v>29.833911528390878</v>
      </c>
      <c r="N67" s="298">
        <v>26.829447444032468</v>
      </c>
      <c r="O67" s="298">
        <v>24.524377947577921</v>
      </c>
      <c r="P67" s="298">
        <v>22.666145948519805</v>
      </c>
      <c r="Q67" s="298">
        <v>19.683481307529799</v>
      </c>
      <c r="R67" s="298">
        <v>19.55420880107971</v>
      </c>
      <c r="S67" s="298">
        <v>19.55420880107971</v>
      </c>
      <c r="T67" s="298">
        <v>19.55420880107971</v>
      </c>
      <c r="U67" s="298">
        <v>19.55420880107971</v>
      </c>
    </row>
    <row r="68" spans="1:21" ht="14.4" x14ac:dyDescent="0.3">
      <c r="A68" s="43">
        <v>6</v>
      </c>
      <c r="B68" s="43"/>
      <c r="C68" s="1"/>
      <c r="D68" s="298">
        <v>6.8818496078623531E-2</v>
      </c>
      <c r="E68" s="298">
        <v>5.2936191485114158E-2</v>
      </c>
      <c r="F68" s="298">
        <v>7.0102641631974985E-3</v>
      </c>
      <c r="G68" s="298">
        <v>1.1862351899176933E-2</v>
      </c>
      <c r="H68" s="298">
        <v>1.9222702695116914E-3</v>
      </c>
      <c r="I68" s="298">
        <v>1.1087146410300954E-2</v>
      </c>
      <c r="J68" s="298">
        <v>6.7285132893848583E-3</v>
      </c>
      <c r="K68" s="298">
        <v>4.5194792975590103E-3</v>
      </c>
      <c r="L68" s="298">
        <v>6.0169639857389576E-3</v>
      </c>
      <c r="M68" s="298">
        <v>7.3330327729595772E-3</v>
      </c>
      <c r="N68" s="298">
        <v>4.9368015428742544E-3</v>
      </c>
      <c r="O68" s="298">
        <v>2.1005572354824645E-3</v>
      </c>
      <c r="P68" s="298">
        <v>9.2816222816082712E-3</v>
      </c>
      <c r="Q68" s="298">
        <v>3.8021989595571734E-3</v>
      </c>
      <c r="R68" s="298">
        <v>2.6949365909897677E-3</v>
      </c>
      <c r="S68" s="298">
        <v>2.6949365909897677E-3</v>
      </c>
      <c r="T68" s="298">
        <v>2.6949365909897677E-3</v>
      </c>
      <c r="U68" s="298">
        <v>2.6949365909897677E-3</v>
      </c>
    </row>
    <row r="69" spans="1:21" ht="14.4" x14ac:dyDescent="0.3">
      <c r="A69" s="43">
        <v>7</v>
      </c>
      <c r="B69" s="43"/>
      <c r="C69" s="1"/>
      <c r="D69" s="298">
        <v>85.792929223620419</v>
      </c>
      <c r="E69" s="298">
        <v>65.67536665068971</v>
      </c>
      <c r="F69" s="298">
        <v>52.471101352240538</v>
      </c>
      <c r="G69" s="298">
        <v>34.473926081721721</v>
      </c>
      <c r="H69" s="298">
        <v>20.70483242585701</v>
      </c>
      <c r="I69" s="298">
        <v>13.8859457017344</v>
      </c>
      <c r="J69" s="298">
        <v>10.407370469722119</v>
      </c>
      <c r="K69" s="298">
        <v>8.4234250472584673</v>
      </c>
      <c r="L69" s="298">
        <v>7.3447486655802345</v>
      </c>
      <c r="M69" s="298">
        <v>6.8022663683683335</v>
      </c>
      <c r="N69" s="298">
        <v>6.5166708279323533</v>
      </c>
      <c r="O69" s="298">
        <v>6.6273860488121423</v>
      </c>
      <c r="P69" s="298">
        <v>6.8022403042729351</v>
      </c>
      <c r="Q69" s="298">
        <v>6.987229811341364</v>
      </c>
      <c r="R69" s="298">
        <v>7.326010337515557</v>
      </c>
      <c r="S69" s="298">
        <v>7.326010337515557</v>
      </c>
      <c r="T69" s="298">
        <v>7.326010337515557</v>
      </c>
      <c r="U69" s="298">
        <v>7.326010337515557</v>
      </c>
    </row>
    <row r="70" spans="1:21" ht="14.4" x14ac:dyDescent="0.3">
      <c r="A70" s="43">
        <v>8</v>
      </c>
      <c r="B70" s="43"/>
      <c r="C70" s="1"/>
      <c r="D70" s="298">
        <v>0.15207091572872264</v>
      </c>
      <c r="E70" s="298">
        <v>5.2891824469196221E-2</v>
      </c>
      <c r="F70" s="298">
        <v>5.7040082585237739E-2</v>
      </c>
      <c r="G70" s="298">
        <v>1.9116049168177565E-2</v>
      </c>
      <c r="H70" s="298">
        <v>2.3564987660073828E-2</v>
      </c>
      <c r="I70" s="298">
        <v>8.5355102461392024E-3</v>
      </c>
      <c r="J70" s="298">
        <v>1.9603945043945102E-2</v>
      </c>
      <c r="K70" s="298">
        <v>1.2636657164619786E-2</v>
      </c>
      <c r="L70" s="298">
        <v>1.0643351525778579E-2</v>
      </c>
      <c r="M70" s="298">
        <v>4.3473848598230228E-3</v>
      </c>
      <c r="N70" s="298">
        <v>2.5415807506222721E-3</v>
      </c>
      <c r="O70" s="298">
        <v>1.2216655309818655E-3</v>
      </c>
      <c r="P70" s="298">
        <v>6.4595461603830819E-3</v>
      </c>
      <c r="Q70" s="298">
        <v>1.3983813924981661E-3</v>
      </c>
      <c r="R70" s="298">
        <v>3.4056178014729927E-3</v>
      </c>
      <c r="S70" s="298">
        <v>3.4056178014729927E-3</v>
      </c>
      <c r="T70" s="298">
        <v>3.4056178014729927E-3</v>
      </c>
      <c r="U70" s="298">
        <v>3.4056178014729927E-3</v>
      </c>
    </row>
    <row r="71" spans="1:21" ht="14.4" x14ac:dyDescent="0.3">
      <c r="A71" s="43">
        <v>9</v>
      </c>
      <c r="B71" s="43"/>
      <c r="C71" s="1"/>
      <c r="D71" s="298">
        <v>1.154353524821659</v>
      </c>
      <c r="E71" s="298">
        <v>3.5914593530271834</v>
      </c>
      <c r="F71" s="298">
        <v>0.66156600737101889</v>
      </c>
      <c r="G71" s="298">
        <v>0.60368769264829547</v>
      </c>
      <c r="H71" s="298">
        <v>0.42447764331950832</v>
      </c>
      <c r="I71" s="298">
        <v>1.0648962156533353</v>
      </c>
      <c r="J71" s="298">
        <v>1.5532650518305111</v>
      </c>
      <c r="K71" s="298">
        <v>0.98716445545758624</v>
      </c>
      <c r="L71" s="298">
        <v>0.68104076968532634</v>
      </c>
      <c r="M71" s="298">
        <v>0.50610374236669098</v>
      </c>
      <c r="N71" s="298">
        <v>0.31868142208094846</v>
      </c>
      <c r="O71" s="298">
        <v>0.22626624756676589</v>
      </c>
      <c r="P71" s="298">
        <v>0.1789795622711387</v>
      </c>
      <c r="Q71" s="298">
        <v>0.13966052871548112</v>
      </c>
      <c r="R71" s="298">
        <v>0.13247290047204982</v>
      </c>
      <c r="S71" s="298">
        <v>0.13247290047204982</v>
      </c>
      <c r="T71" s="298">
        <v>0.13247290047204982</v>
      </c>
      <c r="U71" s="298">
        <v>0.13247290047204982</v>
      </c>
    </row>
    <row r="72" spans="1:21" ht="14.4" x14ac:dyDescent="0.3">
      <c r="A72" s="43">
        <v>10</v>
      </c>
      <c r="B72" s="43"/>
      <c r="C72" s="1"/>
      <c r="D72" s="298">
        <v>0.2294007148283545</v>
      </c>
      <c r="E72" s="298">
        <v>4.67408371331944E-2</v>
      </c>
      <c r="F72" s="298">
        <v>3.9171017790739594E-2</v>
      </c>
      <c r="G72" s="298">
        <v>3.1896110289054799E-2</v>
      </c>
      <c r="H72" s="298">
        <v>9.7072760067846587E-3</v>
      </c>
      <c r="I72" s="298">
        <v>1.3760275349404955E-2</v>
      </c>
      <c r="J72" s="298">
        <v>1.2351163020258928E-2</v>
      </c>
      <c r="K72" s="298">
        <v>7.8770677291336265E-3</v>
      </c>
      <c r="L72" s="298">
        <v>6.6241460677741474E-3</v>
      </c>
      <c r="M72" s="298">
        <v>9.5446111698385379E-4</v>
      </c>
      <c r="N72" s="298">
        <v>5.9000829249238182E-3</v>
      </c>
      <c r="O72" s="298">
        <v>2.8410236973985879E-3</v>
      </c>
      <c r="P72" s="298">
        <v>3.0933034144878684E-3</v>
      </c>
      <c r="Q72" s="298">
        <v>1.7024651539385351E-3</v>
      </c>
      <c r="R72" s="298">
        <v>3.8405411483555876E-3</v>
      </c>
      <c r="S72" s="298">
        <v>3.8405411483555876E-3</v>
      </c>
      <c r="T72" s="298">
        <v>3.8405411483555876E-3</v>
      </c>
      <c r="U72" s="298">
        <v>3.8405411483555876E-3</v>
      </c>
    </row>
    <row r="73" spans="1:21" ht="14.4" x14ac:dyDescent="0.3">
      <c r="A73" s="43">
        <v>11</v>
      </c>
      <c r="B73" s="43"/>
      <c r="C73" s="1"/>
      <c r="D73" s="298">
        <v>69.048567707776243</v>
      </c>
      <c r="E73" s="298">
        <v>33.685348584817774</v>
      </c>
      <c r="F73" s="298">
        <v>15.583787301158949</v>
      </c>
      <c r="G73" s="298">
        <v>6.5636008603412694</v>
      </c>
      <c r="H73" s="298">
        <v>7.6797975872700235</v>
      </c>
      <c r="I73" s="298">
        <v>7.4570840283088478</v>
      </c>
      <c r="J73" s="298">
        <v>6.9055670232180777</v>
      </c>
      <c r="K73" s="298">
        <v>6.5341193000171698</v>
      </c>
      <c r="L73" s="298">
        <v>6.0786150094839924</v>
      </c>
      <c r="M73" s="298">
        <v>5.6151234987755405</v>
      </c>
      <c r="N73" s="298">
        <v>4.7731220793376856</v>
      </c>
      <c r="O73" s="298">
        <v>4.037747204995374</v>
      </c>
      <c r="P73" s="298">
        <v>3.4442053406397228</v>
      </c>
      <c r="Q73" s="298">
        <v>2.6571079286057731</v>
      </c>
      <c r="R73" s="298">
        <v>2.6319335627413896</v>
      </c>
      <c r="S73" s="298">
        <v>2.6319335627413896</v>
      </c>
      <c r="T73" s="298">
        <v>2.6319335627413896</v>
      </c>
      <c r="U73" s="298">
        <v>2.6319335627413896</v>
      </c>
    </row>
    <row r="74" spans="1:21" ht="14.4" x14ac:dyDescent="0.3">
      <c r="A74" s="43">
        <v>12</v>
      </c>
      <c r="B74" s="43"/>
      <c r="C74" s="1"/>
      <c r="D74" s="298">
        <v>4.3926126021925166E-2</v>
      </c>
      <c r="E74" s="298">
        <v>1.2877494467594758E-2</v>
      </c>
      <c r="F74" s="298">
        <v>4.5954157397374695E-3</v>
      </c>
      <c r="G74" s="298">
        <v>5.329225146697902E-3</v>
      </c>
      <c r="H74" s="298">
        <v>1.7455825337836627E-3</v>
      </c>
      <c r="I74" s="298">
        <v>6.1922252654432195E-3</v>
      </c>
      <c r="J74" s="298">
        <v>4.6340307760456886E-3</v>
      </c>
      <c r="K74" s="298">
        <v>1.2658928420938899E-3</v>
      </c>
      <c r="L74" s="298">
        <v>7.2345470714335765E-4</v>
      </c>
      <c r="M74" s="298">
        <v>2.8137542278655172E-3</v>
      </c>
      <c r="N74" s="298">
        <v>3.3387817150023614E-3</v>
      </c>
      <c r="O74" s="298">
        <v>7.0415228820549169E-4</v>
      </c>
      <c r="P74" s="298">
        <v>3.2866827675993235E-3</v>
      </c>
      <c r="Q74" s="298">
        <v>2.129932191298423E-3</v>
      </c>
      <c r="R74" s="298">
        <v>3.0726078205235829E-3</v>
      </c>
      <c r="S74" s="298">
        <v>3.0726078205235829E-3</v>
      </c>
      <c r="T74" s="298">
        <v>3.0726078205235829E-3</v>
      </c>
      <c r="U74" s="298">
        <v>3.0726078205235829E-3</v>
      </c>
    </row>
    <row r="75" spans="1:21" ht="14.4" x14ac:dyDescent="0.3">
      <c r="A75" s="43">
        <v>13</v>
      </c>
      <c r="B75" s="43"/>
      <c r="C75" s="1"/>
      <c r="D75" s="298">
        <v>57.626071680473594</v>
      </c>
      <c r="E75" s="298">
        <v>19.008833408591933</v>
      </c>
      <c r="F75" s="298">
        <v>6.0811074483745449</v>
      </c>
      <c r="G75" s="298">
        <v>6.4203508662030933</v>
      </c>
      <c r="H75" s="298">
        <v>4.053836065316168</v>
      </c>
      <c r="I75" s="298">
        <v>3.136813925533426</v>
      </c>
      <c r="J75" s="298">
        <v>3.2687886565984781</v>
      </c>
      <c r="K75" s="298">
        <v>3.1927019928471165</v>
      </c>
      <c r="L75" s="298">
        <v>3.1590323561450395</v>
      </c>
      <c r="M75" s="298">
        <v>3.1114405010378423</v>
      </c>
      <c r="N75" s="298">
        <v>2.9413990501469054</v>
      </c>
      <c r="O75" s="298">
        <v>2.6891381919916104</v>
      </c>
      <c r="P75" s="298">
        <v>2.4129113867682368</v>
      </c>
      <c r="Q75" s="298">
        <v>1.9019132140355048</v>
      </c>
      <c r="R75" s="298">
        <v>1.9731316672454773</v>
      </c>
      <c r="S75" s="298">
        <v>1.9731316672454773</v>
      </c>
      <c r="T75" s="298">
        <v>1.9731316672454773</v>
      </c>
      <c r="U75" s="298">
        <v>1.9731316672454773</v>
      </c>
    </row>
    <row r="76" spans="1:21" ht="14.4" x14ac:dyDescent="0.3">
      <c r="A76" s="43">
        <v>14</v>
      </c>
      <c r="B76" s="43"/>
      <c r="C76" s="1"/>
      <c r="D76" s="298">
        <v>0.20927403927484672</v>
      </c>
      <c r="E76" s="298">
        <v>5.5602611265487843E-2</v>
      </c>
      <c r="F76" s="298">
        <v>4.0150680983375708E-2</v>
      </c>
      <c r="G76" s="298">
        <v>1.1364022598705132E-2</v>
      </c>
      <c r="H76" s="298">
        <v>1.5808693433503308E-2</v>
      </c>
      <c r="I76" s="298">
        <v>1.1300571663228018E-2</v>
      </c>
      <c r="J76" s="298">
        <v>1.3986444352451872E-2</v>
      </c>
      <c r="K76" s="298">
        <v>1.3726550136797936E-2</v>
      </c>
      <c r="L76" s="298">
        <v>1.2922710779955417E-2</v>
      </c>
      <c r="M76" s="298">
        <v>6.7573395777536377E-3</v>
      </c>
      <c r="N76" s="298">
        <v>6.0541163970223889E-3</v>
      </c>
      <c r="O76" s="298">
        <v>8.8566143641728831E-4</v>
      </c>
      <c r="P76" s="298">
        <v>4.5856434142929501E-3</v>
      </c>
      <c r="Q76" s="298">
        <v>2.3769049086772155E-3</v>
      </c>
      <c r="R76" s="298">
        <v>2.1687917940923906E-3</v>
      </c>
      <c r="S76" s="298">
        <v>2.1687917940923906E-3</v>
      </c>
      <c r="T76" s="298">
        <v>2.1687917940923906E-3</v>
      </c>
      <c r="U76" s="298">
        <v>2.1687917940923906E-3</v>
      </c>
    </row>
    <row r="77" spans="1:21" ht="14.4" x14ac:dyDescent="0.3">
      <c r="A77" s="43">
        <v>15</v>
      </c>
      <c r="B77" s="43"/>
      <c r="C77" s="1"/>
      <c r="D77" s="298">
        <v>1.136851568371505</v>
      </c>
      <c r="E77" s="298">
        <v>0.23095610968918576</v>
      </c>
      <c r="F77" s="298">
        <v>0.45935010470309795</v>
      </c>
      <c r="G77" s="298">
        <v>0.33979479464125767</v>
      </c>
      <c r="H77" s="298">
        <v>0.19877874639876153</v>
      </c>
      <c r="I77" s="298">
        <v>0.6117370588990978</v>
      </c>
      <c r="J77" s="298">
        <v>0.7739736036483279</v>
      </c>
      <c r="K77" s="298">
        <v>0.47689818111624066</v>
      </c>
      <c r="L77" s="298">
        <v>0.32445444976062632</v>
      </c>
      <c r="M77" s="298">
        <v>0.24590737646040681</v>
      </c>
      <c r="N77" s="298">
        <v>0.17863761703347875</v>
      </c>
      <c r="O77" s="298">
        <v>0.15238590146764369</v>
      </c>
      <c r="P77" s="298">
        <v>0.13879587874692803</v>
      </c>
      <c r="Q77" s="298">
        <v>0.10849930149243135</v>
      </c>
      <c r="R77" s="298">
        <v>0.10438708261063094</v>
      </c>
      <c r="S77" s="298">
        <v>0.10438708261063094</v>
      </c>
      <c r="T77" s="298">
        <v>0.10438708261063094</v>
      </c>
      <c r="U77" s="298">
        <v>0.10438708261063094</v>
      </c>
    </row>
    <row r="78" spans="1:21" ht="14.4" x14ac:dyDescent="0.3">
      <c r="A78" s="43">
        <v>16</v>
      </c>
      <c r="B78" s="43"/>
      <c r="C78" s="1"/>
      <c r="D78" s="298">
        <v>0.21260480542905863</v>
      </c>
      <c r="E78" s="298">
        <v>5.5251059810874539E-2</v>
      </c>
      <c r="F78" s="298">
        <v>2.9549060045343564E-2</v>
      </c>
      <c r="G78" s="298">
        <v>1.9149260351853523E-2</v>
      </c>
      <c r="H78" s="298">
        <v>8.8894084206710914E-3</v>
      </c>
      <c r="I78" s="298">
        <v>9.8004503653837914E-3</v>
      </c>
      <c r="J78" s="298">
        <v>9.3355107602731344E-3</v>
      </c>
      <c r="K78" s="298">
        <v>1.1176506405604431E-2</v>
      </c>
      <c r="L78" s="298">
        <v>1.0797812516310075E-2</v>
      </c>
      <c r="M78" s="298">
        <v>4.9258459762198314E-3</v>
      </c>
      <c r="N78" s="298">
        <v>1.5412362332936629E-3</v>
      </c>
      <c r="O78" s="298">
        <v>1.7707278526791228E-3</v>
      </c>
      <c r="P78" s="298">
        <v>3.8905467511792919E-3</v>
      </c>
      <c r="Q78" s="298">
        <v>3.1270051788819786E-3</v>
      </c>
      <c r="R78" s="298">
        <v>2.7546885466757905E-3</v>
      </c>
      <c r="S78" s="298">
        <v>2.7546885466757905E-3</v>
      </c>
      <c r="T78" s="298">
        <v>2.7546885466757905E-3</v>
      </c>
      <c r="U78" s="298">
        <v>2.7546885466757905E-3</v>
      </c>
    </row>
    <row r="79" spans="1:21" ht="14.4" x14ac:dyDescent="0.3">
      <c r="A79" s="43">
        <v>17</v>
      </c>
      <c r="B79" s="43"/>
      <c r="C79" s="1"/>
      <c r="D79" s="299">
        <v>38.305868434141544</v>
      </c>
      <c r="E79" s="298">
        <v>5.2999903687276673</v>
      </c>
      <c r="F79" s="298">
        <v>6.2578007441416821</v>
      </c>
      <c r="G79" s="299">
        <v>3.651615692351549</v>
      </c>
      <c r="H79" s="299">
        <v>3.9361368606820331</v>
      </c>
      <c r="I79" s="299">
        <v>3.5365888642625669</v>
      </c>
      <c r="J79" s="298">
        <v>2.7954962272937816</v>
      </c>
      <c r="K79" s="298">
        <v>2.4617473384512585</v>
      </c>
      <c r="L79" s="298">
        <v>2.1281057585635259</v>
      </c>
      <c r="M79" s="298">
        <v>1.850567348179557</v>
      </c>
      <c r="N79" s="299">
        <v>1.5324828885585096</v>
      </c>
      <c r="O79" s="298">
        <v>1.4251739565426205</v>
      </c>
      <c r="P79" s="298">
        <v>1.4117622874341469</v>
      </c>
      <c r="Q79" s="298">
        <v>1.3485789449567889</v>
      </c>
      <c r="R79" s="298">
        <v>1.3516864824509252</v>
      </c>
      <c r="S79" s="298">
        <v>1.3516864824509252</v>
      </c>
      <c r="T79" s="298">
        <v>1.3516864824509252</v>
      </c>
      <c r="U79" s="298">
        <v>1.3516864824509252</v>
      </c>
    </row>
    <row r="80" spans="1:21" ht="14.4" x14ac:dyDescent="0.3">
      <c r="A80" s="43">
        <v>18</v>
      </c>
      <c r="B80" s="43"/>
      <c r="C80" s="1"/>
      <c r="D80" s="298">
        <v>6.8073317161051342E-3</v>
      </c>
      <c r="E80" s="298">
        <v>4.4855023970696963E-3</v>
      </c>
      <c r="F80" s="298">
        <v>3.7080452251308581E-3</v>
      </c>
      <c r="G80" s="298">
        <v>4.1891794258732719E-3</v>
      </c>
      <c r="H80" s="298">
        <v>2.5800652861531514E-3</v>
      </c>
      <c r="I80" s="298">
        <v>5.1323452366736095E-3</v>
      </c>
      <c r="J80" s="298">
        <v>3.2624660891922676E-3</v>
      </c>
      <c r="K80" s="298">
        <v>9.7248963017647263E-4</v>
      </c>
      <c r="L80" s="298">
        <v>5.3824967182370125E-4</v>
      </c>
      <c r="M80" s="298">
        <v>3.4207800467921257E-3</v>
      </c>
      <c r="N80" s="298">
        <v>2.3022193218101682E-3</v>
      </c>
      <c r="O80" s="298">
        <v>7.1766985210155283E-4</v>
      </c>
      <c r="P80" s="298">
        <v>1.6747979107749516E-3</v>
      </c>
      <c r="Q80" s="298">
        <v>1.0243399597807483E-3</v>
      </c>
      <c r="R80" s="298">
        <v>2.7645882744071495E-3</v>
      </c>
      <c r="S80" s="298">
        <v>2.7645882744071495E-3</v>
      </c>
      <c r="T80" s="298">
        <v>2.7645882744071495E-3</v>
      </c>
      <c r="U80" s="298">
        <v>2.7645882744071495E-3</v>
      </c>
    </row>
    <row r="81" spans="1:21" ht="14.4" x14ac:dyDescent="0.3">
      <c r="A81" s="43">
        <v>19</v>
      </c>
      <c r="B81" s="43"/>
      <c r="C81" s="1"/>
      <c r="D81" s="298">
        <v>28.12675018493254</v>
      </c>
      <c r="E81" s="298">
        <v>5.7694235730205383</v>
      </c>
      <c r="F81" s="298">
        <v>4.4923444139523241</v>
      </c>
      <c r="G81" s="298">
        <v>2.461818140179882</v>
      </c>
      <c r="H81" s="298">
        <v>1.5612033953483941</v>
      </c>
      <c r="I81" s="298">
        <v>1.435344927819425</v>
      </c>
      <c r="J81" s="298">
        <v>1.8152549557696753</v>
      </c>
      <c r="K81" s="298">
        <v>1.7533389509717254</v>
      </c>
      <c r="L81" s="298">
        <v>1.6441205577377018</v>
      </c>
      <c r="M81" s="298">
        <v>1.5015094716885002</v>
      </c>
      <c r="N81" s="298">
        <v>1.1978760529333901</v>
      </c>
      <c r="O81" s="298">
        <v>0.96493434637770215</v>
      </c>
      <c r="P81" s="298">
        <v>0.86230538911097832</v>
      </c>
      <c r="Q81" s="298">
        <v>0.87143134542122158</v>
      </c>
      <c r="R81" s="298">
        <v>0.89423887387252965</v>
      </c>
      <c r="S81" s="298">
        <v>0.89423887387252965</v>
      </c>
      <c r="T81" s="298">
        <v>0.89423887387252965</v>
      </c>
      <c r="U81" s="298">
        <v>0.89423887387252965</v>
      </c>
    </row>
    <row r="82" spans="1:21" ht="14.4" x14ac:dyDescent="0.3">
      <c r="A82" s="43">
        <v>20</v>
      </c>
      <c r="B82" s="43"/>
      <c r="C82" s="1"/>
      <c r="D82" s="298">
        <v>0.16228025606892954</v>
      </c>
      <c r="E82" s="298">
        <v>3.4304595434386999E-2</v>
      </c>
      <c r="F82" s="298">
        <v>3.603503131369204E-2</v>
      </c>
      <c r="G82" s="298">
        <v>1.3414457398225953E-2</v>
      </c>
      <c r="H82" s="298">
        <v>1.3820648138552563E-2</v>
      </c>
      <c r="I82" s="298">
        <v>1.2553645285502412E-2</v>
      </c>
      <c r="J82" s="298">
        <v>1.1519216055600136E-2</v>
      </c>
      <c r="K82" s="298">
        <v>1.2482583619361326E-2</v>
      </c>
      <c r="L82" s="298">
        <v>1.0659586926913772E-2</v>
      </c>
      <c r="M82" s="298">
        <v>3.9990621565117561E-3</v>
      </c>
      <c r="N82" s="298">
        <v>4.289924599988241E-3</v>
      </c>
      <c r="O82" s="298">
        <v>2.3631359410929234E-3</v>
      </c>
      <c r="P82" s="298">
        <v>2.0372139828744758E-3</v>
      </c>
      <c r="Q82" s="298">
        <v>2.6099379219788315E-3</v>
      </c>
      <c r="R82" s="298">
        <v>3.3164014470484933E-3</v>
      </c>
      <c r="S82" s="298">
        <v>3.3164014470484933E-3</v>
      </c>
      <c r="T82" s="298">
        <v>3.3164014470484933E-3</v>
      </c>
      <c r="U82" s="298">
        <v>3.3164014470484933E-3</v>
      </c>
    </row>
    <row r="83" spans="1:21" ht="14.4" x14ac:dyDescent="0.3">
      <c r="A83" s="43">
        <v>21</v>
      </c>
      <c r="B83" s="43"/>
      <c r="C83" s="1"/>
      <c r="D83" s="298">
        <v>0.62329316321319206</v>
      </c>
      <c r="E83" s="298">
        <v>0.38652912360520963</v>
      </c>
      <c r="F83" s="298">
        <v>0.28848587809075404</v>
      </c>
      <c r="G83" s="298">
        <v>0.2327624797312611</v>
      </c>
      <c r="H83" s="298">
        <v>0.12695962714013889</v>
      </c>
      <c r="I83" s="298">
        <v>0.43156831387325317</v>
      </c>
      <c r="J83" s="298">
        <v>0.51232861946084751</v>
      </c>
      <c r="K83" s="298">
        <v>0.33639919482821595</v>
      </c>
      <c r="L83" s="298">
        <v>0.24976274080004948</v>
      </c>
      <c r="M83" s="298">
        <v>0.20143664947276263</v>
      </c>
      <c r="N83" s="298">
        <v>0.14886071320433725</v>
      </c>
      <c r="O83" s="298">
        <v>0.11057082122039739</v>
      </c>
      <c r="P83" s="298">
        <v>8.69095877563483E-2</v>
      </c>
      <c r="Q83" s="298">
        <v>6.469840401868561E-2</v>
      </c>
      <c r="R83" s="298">
        <v>6.207334554446476E-2</v>
      </c>
      <c r="S83" s="298">
        <v>6.207334554446476E-2</v>
      </c>
      <c r="T83" s="298">
        <v>6.207334554446476E-2</v>
      </c>
      <c r="U83" s="298">
        <v>6.207334554446476E-2</v>
      </c>
    </row>
    <row r="84" spans="1:21" ht="14.4" x14ac:dyDescent="0.3">
      <c r="A84" s="43">
        <v>22</v>
      </c>
      <c r="B84" s="43"/>
      <c r="C84" s="1"/>
      <c r="D84" s="298">
        <v>0.10196628651957353</v>
      </c>
      <c r="E84" s="298">
        <v>3.8702088424270906E-2</v>
      </c>
      <c r="F84" s="298">
        <v>3.2940823141321553E-2</v>
      </c>
      <c r="G84" s="298">
        <v>1.4397088226243407E-2</v>
      </c>
      <c r="H84" s="298">
        <v>8.0433131135157904E-3</v>
      </c>
      <c r="I84" s="298">
        <v>9.1411482785596215E-3</v>
      </c>
      <c r="J84" s="298">
        <v>1.3328297513609087E-2</v>
      </c>
      <c r="K84" s="298">
        <v>9.9334339431091864E-3</v>
      </c>
      <c r="L84" s="298">
        <v>8.7776949548354632E-3</v>
      </c>
      <c r="M84" s="298">
        <v>2.8422690440152187E-3</v>
      </c>
      <c r="N84" s="298">
        <v>1.7693174251628295E-3</v>
      </c>
      <c r="O84" s="298">
        <v>2.3683965026528521E-3</v>
      </c>
      <c r="P84" s="298">
        <v>2.2687748359132434E-3</v>
      </c>
      <c r="Q84" s="298">
        <v>3.2956893394252857E-3</v>
      </c>
      <c r="R84" s="298">
        <v>3.1845733198832878E-3</v>
      </c>
      <c r="S84" s="298">
        <v>3.1845733198832878E-3</v>
      </c>
      <c r="T84" s="298">
        <v>3.1845733198832878E-3</v>
      </c>
      <c r="U84" s="298">
        <v>3.1845733198832878E-3</v>
      </c>
    </row>
    <row r="85" spans="1:21" ht="14.4" x14ac:dyDescent="0.3">
      <c r="A85" s="43">
        <v>23</v>
      </c>
      <c r="B85" s="43"/>
      <c r="C85" s="1"/>
      <c r="D85" s="298">
        <v>14.111336248333169</v>
      </c>
      <c r="E85" s="298">
        <v>4.5502762773923147</v>
      </c>
      <c r="F85" s="298">
        <v>2.8173069900787024</v>
      </c>
      <c r="G85" s="298">
        <v>2.0670952688936821</v>
      </c>
      <c r="H85" s="298">
        <v>2.2928087910650583</v>
      </c>
      <c r="I85" s="298">
        <v>1.9472020944612196</v>
      </c>
      <c r="J85" s="298">
        <v>1.3645089433593613</v>
      </c>
      <c r="K85" s="298">
        <v>1.1709027163413299</v>
      </c>
      <c r="L85" s="298">
        <v>1.0449622436221531</v>
      </c>
      <c r="M85" s="298">
        <v>0.98668776275695924</v>
      </c>
      <c r="N85" s="298">
        <v>0.97151910927620677</v>
      </c>
      <c r="O85" s="298">
        <v>0.91499109629030073</v>
      </c>
      <c r="P85" s="298">
        <v>0.81941237005377587</v>
      </c>
      <c r="Q85" s="298">
        <v>0.64151011524075341</v>
      </c>
      <c r="R85" s="298">
        <v>0.64347399672352978</v>
      </c>
      <c r="S85" s="298">
        <v>0.64347399672352978</v>
      </c>
      <c r="T85" s="298">
        <v>0.64347399672352978</v>
      </c>
      <c r="U85" s="298">
        <v>0.64347399672352978</v>
      </c>
    </row>
    <row r="86" spans="1:21" ht="14.4" x14ac:dyDescent="0.3">
      <c r="A86" s="43">
        <v>24</v>
      </c>
      <c r="B86" s="43"/>
      <c r="C86" s="1"/>
      <c r="D86" s="298">
        <v>3.6824454901743818E-2</v>
      </c>
      <c r="E86" s="298">
        <v>9.8382681602157043E-3</v>
      </c>
      <c r="F86" s="298">
        <v>2.4869442257516557E-3</v>
      </c>
      <c r="G86" s="298">
        <v>3.7823320015961076E-3</v>
      </c>
      <c r="H86" s="298">
        <v>3.0035667733548503E-3</v>
      </c>
      <c r="I86" s="298">
        <v>5.3235417328994826E-3</v>
      </c>
      <c r="J86" s="298">
        <v>5.8116700278296428E-3</v>
      </c>
      <c r="K86" s="298">
        <v>2.9855222275943743E-3</v>
      </c>
      <c r="L86" s="298">
        <v>2.3272957918215429E-3</v>
      </c>
      <c r="M86" s="298">
        <v>3.1075268606800422E-3</v>
      </c>
      <c r="N86" s="298">
        <v>1.6642059470906843E-3</v>
      </c>
      <c r="O86" s="298">
        <v>5.0465814106315395E-4</v>
      </c>
      <c r="P86" s="298">
        <v>2.4652728971896356E-3</v>
      </c>
      <c r="Q86" s="298">
        <v>5.6815989694872823E-4</v>
      </c>
      <c r="R86" s="298">
        <v>2.910084521893625E-3</v>
      </c>
      <c r="S86" s="298">
        <v>2.910084521893625E-3</v>
      </c>
      <c r="T86" s="298">
        <v>2.910084521893625E-3</v>
      </c>
      <c r="U86" s="298">
        <v>2.910084521893625E-3</v>
      </c>
    </row>
    <row r="87" spans="1:21" ht="14.4" x14ac:dyDescent="0.3">
      <c r="A87" s="43">
        <v>25</v>
      </c>
      <c r="B87" s="43"/>
      <c r="C87" s="1"/>
      <c r="D87" s="298">
        <v>9.1460847189836905</v>
      </c>
      <c r="E87" s="298">
        <v>3.3287755929835949</v>
      </c>
      <c r="F87" s="298">
        <v>2.4769082641614584</v>
      </c>
      <c r="G87" s="298">
        <v>1.4065816239828657</v>
      </c>
      <c r="H87" s="298">
        <v>0.9812541545579192</v>
      </c>
      <c r="I87" s="298">
        <v>0.87516515937476913</v>
      </c>
      <c r="J87" s="298">
        <v>1.0203047520164361</v>
      </c>
      <c r="K87" s="298">
        <v>0.89181945133108653</v>
      </c>
      <c r="L87" s="298">
        <v>0.77335390981045959</v>
      </c>
      <c r="M87" s="298">
        <v>0.680943962179267</v>
      </c>
      <c r="N87" s="298">
        <v>0.60410783726699213</v>
      </c>
      <c r="O87" s="298">
        <v>0.59625159344747769</v>
      </c>
      <c r="P87" s="298">
        <v>0.57911197721694829</v>
      </c>
      <c r="Q87" s="298">
        <v>0.47588131924725879</v>
      </c>
      <c r="R87" s="298">
        <v>0.48332856078705327</v>
      </c>
      <c r="S87" s="298">
        <v>0.48332856078705327</v>
      </c>
      <c r="T87" s="298">
        <v>0.48332856078705327</v>
      </c>
      <c r="U87" s="298">
        <v>0.48332856078705327</v>
      </c>
    </row>
    <row r="88" spans="1:21" ht="14.4" x14ac:dyDescent="0.3">
      <c r="A88" s="43">
        <v>26</v>
      </c>
      <c r="B88" s="43"/>
      <c r="C88" s="1"/>
      <c r="D88" s="298">
        <v>5.0821504219815294E-2</v>
      </c>
      <c r="E88" s="298">
        <v>5.5062549483802257E-2</v>
      </c>
      <c r="F88" s="298">
        <v>2.6569838221547654E-2</v>
      </c>
      <c r="G88" s="298">
        <v>1.7180710354120391E-2</v>
      </c>
      <c r="H88" s="298">
        <v>1.4413765296386657E-2</v>
      </c>
      <c r="I88" s="298">
        <v>1.340051166752103E-2</v>
      </c>
      <c r="J88" s="298">
        <v>1.2261667576280695E-2</v>
      </c>
      <c r="K88" s="298">
        <v>1.1494261330574136E-2</v>
      </c>
      <c r="L88" s="298">
        <v>1.1502164549246671E-2</v>
      </c>
      <c r="M88" s="298">
        <v>6.3586835670058186E-3</v>
      </c>
      <c r="N88" s="298">
        <v>5.7283366829020497E-3</v>
      </c>
      <c r="O88" s="298">
        <v>1.4156391535011382E-3</v>
      </c>
      <c r="P88" s="298">
        <v>2.35923526977449E-3</v>
      </c>
      <c r="Q88" s="298">
        <v>3.048115692564884E-3</v>
      </c>
      <c r="R88" s="298">
        <v>2.505817916151253E-3</v>
      </c>
      <c r="S88" s="298">
        <v>2.505817916151253E-3</v>
      </c>
      <c r="T88" s="298">
        <v>2.505817916151253E-3</v>
      </c>
      <c r="U88" s="298">
        <v>2.505817916151253E-3</v>
      </c>
    </row>
    <row r="89" spans="1:21" ht="14.4" x14ac:dyDescent="0.3">
      <c r="A89" s="43">
        <v>27</v>
      </c>
      <c r="B89" s="43"/>
      <c r="C89" s="1"/>
      <c r="D89" s="298">
        <v>0.21238680360962095</v>
      </c>
      <c r="E89" s="298">
        <v>0.25707405179893289</v>
      </c>
      <c r="F89" s="298">
        <v>0.16073741316951387</v>
      </c>
      <c r="G89" s="298">
        <v>0.17380962651022741</v>
      </c>
      <c r="H89" s="298">
        <v>9.1193806224074303E-2</v>
      </c>
      <c r="I89" s="298">
        <v>0.33088372878460953</v>
      </c>
      <c r="J89" s="298">
        <v>0.40809218499146371</v>
      </c>
      <c r="K89" s="298">
        <v>0.28326195110267732</v>
      </c>
      <c r="L89" s="298">
        <v>0.20563582476045428</v>
      </c>
      <c r="M89" s="298">
        <v>0.15760505021576746</v>
      </c>
      <c r="N89" s="298">
        <v>9.9377043514666238E-2</v>
      </c>
      <c r="O89" s="298">
        <v>7.5391622206023953E-2</v>
      </c>
      <c r="P89" s="298">
        <v>6.8011485955306775E-2</v>
      </c>
      <c r="Q89" s="298">
        <v>5.56664765461901E-2</v>
      </c>
      <c r="R89" s="298">
        <v>5.3354821022066533E-2</v>
      </c>
      <c r="S89" s="298">
        <v>5.3354821022066533E-2</v>
      </c>
      <c r="T89" s="298">
        <v>5.3354821022066533E-2</v>
      </c>
      <c r="U89" s="298">
        <v>5.3354821022066533E-2</v>
      </c>
    </row>
    <row r="90" spans="1:21" ht="14.4" x14ac:dyDescent="0.3">
      <c r="A90" s="43">
        <v>28</v>
      </c>
      <c r="B90" s="43"/>
      <c r="C90" s="1"/>
      <c r="D90" s="298">
        <v>1.9392625777396737E-2</v>
      </c>
      <c r="E90" s="298">
        <v>4.7102518518670457E-2</v>
      </c>
      <c r="F90" s="298">
        <v>2.8971418661601897E-2</v>
      </c>
      <c r="G90" s="298">
        <v>1.1872541264805246E-2</v>
      </c>
      <c r="H90" s="298">
        <v>6.9611130983163278E-3</v>
      </c>
      <c r="I90" s="298">
        <v>8.5362681900183323E-3</v>
      </c>
      <c r="J90" s="298">
        <v>1.2556658041302614E-2</v>
      </c>
      <c r="K90" s="298">
        <v>1.0537656791068419E-2</v>
      </c>
      <c r="L90" s="298">
        <v>9.2930775732190107E-3</v>
      </c>
      <c r="M90" s="298">
        <v>3.3090135809581808E-3</v>
      </c>
      <c r="N90" s="298">
        <v>8.4429509332862738E-4</v>
      </c>
      <c r="O90" s="298">
        <v>1.7536756837702497E-3</v>
      </c>
      <c r="P90" s="298">
        <v>1.2486380283558422E-3</v>
      </c>
      <c r="Q90" s="298">
        <v>3.2293207653354824E-3</v>
      </c>
      <c r="R90" s="298">
        <v>2.7333925969108054E-3</v>
      </c>
      <c r="S90" s="298">
        <v>2.7333925969108054E-3</v>
      </c>
      <c r="T90" s="298">
        <v>2.7333925969108054E-3</v>
      </c>
      <c r="U90" s="298">
        <v>2.7333925969108054E-3</v>
      </c>
    </row>
    <row r="91" spans="1:21" ht="14.4" x14ac:dyDescent="0.3">
      <c r="A91" s="43">
        <v>29</v>
      </c>
      <c r="B91" s="43"/>
      <c r="C91" s="1"/>
      <c r="D91" s="298">
        <v>6.5146861253923207</v>
      </c>
      <c r="E91" s="298">
        <v>2.6788137999966111</v>
      </c>
      <c r="F91" s="298">
        <v>1.6106667515221753</v>
      </c>
      <c r="G91" s="298">
        <v>1.3975423047728013</v>
      </c>
      <c r="H91" s="298">
        <v>1.3999934630363924</v>
      </c>
      <c r="I91" s="298">
        <v>1.0907850218496227</v>
      </c>
      <c r="J91" s="298">
        <v>0.75870567381450926</v>
      </c>
      <c r="K91" s="298">
        <v>0.75678843679568575</v>
      </c>
      <c r="L91" s="298">
        <v>0.75575983296320848</v>
      </c>
      <c r="M91" s="298">
        <v>0.72478506133268517</v>
      </c>
      <c r="N91" s="298">
        <v>0.61840577400138186</v>
      </c>
      <c r="O91" s="298">
        <v>0.50578743449988961</v>
      </c>
      <c r="P91" s="298">
        <v>0.46727025134098182</v>
      </c>
      <c r="Q91" s="298">
        <v>0.45386743782930422</v>
      </c>
      <c r="R91" s="298">
        <v>0.4514293951690499</v>
      </c>
      <c r="S91" s="298">
        <v>0.4514293951690499</v>
      </c>
      <c r="T91" s="298">
        <v>0.4514293951690499</v>
      </c>
      <c r="U91" s="298">
        <v>0.4514293951690499</v>
      </c>
    </row>
    <row r="92" spans="1:21" ht="14.4" x14ac:dyDescent="0.3">
      <c r="A92" s="43">
        <v>30</v>
      </c>
      <c r="B92" s="43"/>
      <c r="C92" s="1"/>
      <c r="D92" s="298">
        <v>3.4884370898550648E-2</v>
      </c>
      <c r="E92" s="298">
        <v>4.1765772225850796E-3</v>
      </c>
      <c r="F92" s="298">
        <v>3.1945642193693534E-3</v>
      </c>
      <c r="G92" s="298">
        <v>3.60287707209932E-3</v>
      </c>
      <c r="H92" s="298">
        <v>3.2920300374340902E-3</v>
      </c>
      <c r="I92" s="298">
        <v>5.0314868423076246E-3</v>
      </c>
      <c r="J92" s="298">
        <v>4.6053075814346854E-3</v>
      </c>
      <c r="K92" s="298">
        <v>3.6991571943863818E-3</v>
      </c>
      <c r="L92" s="298">
        <v>1.9564019833816105E-3</v>
      </c>
      <c r="M92" s="298">
        <v>2.8717553777810353E-3</v>
      </c>
      <c r="N92" s="298">
        <v>2.6821760992090326E-3</v>
      </c>
      <c r="O92" s="298">
        <v>5.3985110846739104E-4</v>
      </c>
      <c r="P92" s="298">
        <v>8.6189772740157076E-4</v>
      </c>
      <c r="Q92" s="298">
        <v>7.0587971191137216E-4</v>
      </c>
      <c r="R92" s="298">
        <v>2.5967183728580682E-3</v>
      </c>
      <c r="S92" s="298">
        <v>2.5967183728580682E-3</v>
      </c>
      <c r="T92" s="298">
        <v>2.5967183728580682E-3</v>
      </c>
      <c r="U92" s="298">
        <v>2.5967183728580682E-3</v>
      </c>
    </row>
    <row r="93" spans="1:21" ht="14.4" x14ac:dyDescent="0.3">
      <c r="A93" s="43">
        <v>31</v>
      </c>
      <c r="B93" s="43"/>
      <c r="C93" s="1"/>
      <c r="D93" s="298">
        <v>6.3339107327432735</v>
      </c>
      <c r="E93" s="298">
        <v>2.4858685050570775</v>
      </c>
      <c r="F93" s="298">
        <v>1.4322222537619056</v>
      </c>
      <c r="G93" s="298">
        <v>0.82280279165842463</v>
      </c>
      <c r="H93" s="298">
        <v>0.68512353629472578</v>
      </c>
      <c r="I93" s="298">
        <v>0.58112005814292844</v>
      </c>
      <c r="J93" s="298">
        <v>0.56772740214173922</v>
      </c>
      <c r="K93" s="298">
        <v>0.46221863452787271</v>
      </c>
      <c r="L93" s="298">
        <v>0.42486576546865334</v>
      </c>
      <c r="M93" s="298">
        <v>0.43056874893088998</v>
      </c>
      <c r="N93" s="298">
        <v>0.43268010175951643</v>
      </c>
      <c r="O93" s="298">
        <v>0.37617527613812002</v>
      </c>
      <c r="P93" s="298">
        <v>0.31678577460681751</v>
      </c>
      <c r="Q93" s="298">
        <v>0.30877008317967913</v>
      </c>
      <c r="R93" s="298">
        <v>0.3120658886678041</v>
      </c>
      <c r="S93" s="298">
        <v>0.3120658886678041</v>
      </c>
      <c r="T93" s="298">
        <v>0.3120658886678041</v>
      </c>
      <c r="U93" s="298">
        <v>0.3120658886678041</v>
      </c>
    </row>
    <row r="94" spans="1:21" ht="14.4" x14ac:dyDescent="0.3">
      <c r="A94" s="43">
        <v>32</v>
      </c>
      <c r="B94" s="43"/>
      <c r="C94" s="1"/>
      <c r="D94" s="298">
        <v>4.6506205535545839E-2</v>
      </c>
      <c r="E94" s="298">
        <v>3.3260518350729629E-2</v>
      </c>
      <c r="F94" s="298">
        <v>2.9586195514357663E-2</v>
      </c>
      <c r="G94" s="298">
        <v>1.9535797704362808E-2</v>
      </c>
      <c r="H94" s="298">
        <v>1.4563606306652922E-2</v>
      </c>
      <c r="I94" s="298">
        <v>1.305927336868163E-2</v>
      </c>
      <c r="J94" s="298">
        <v>8.8970610246392086E-3</v>
      </c>
      <c r="K94" s="298">
        <v>1.1901375104307985E-2</v>
      </c>
      <c r="L94" s="298">
        <v>1.1921658515740853E-2</v>
      </c>
      <c r="M94" s="298">
        <v>5.9187663071225798E-3</v>
      </c>
      <c r="N94" s="298">
        <v>4.587462629749072E-3</v>
      </c>
      <c r="O94" s="298">
        <v>1.2699646308248702E-3</v>
      </c>
      <c r="P94" s="298">
        <v>2.2444292602197963E-3</v>
      </c>
      <c r="Q94" s="298">
        <v>2.8384966763810126E-3</v>
      </c>
      <c r="R94" s="298">
        <v>2.9287371239286731E-3</v>
      </c>
      <c r="S94" s="298">
        <v>2.9287371239286731E-3</v>
      </c>
      <c r="T94" s="298">
        <v>2.9287371239286731E-3</v>
      </c>
      <c r="U94" s="298">
        <v>2.9287371239286731E-3</v>
      </c>
    </row>
    <row r="95" spans="1:21" ht="14.4" x14ac:dyDescent="0.3">
      <c r="A95" s="43">
        <v>33</v>
      </c>
      <c r="B95" s="43"/>
      <c r="C95" s="1"/>
      <c r="D95" s="298">
        <v>0.30274927892914244</v>
      </c>
      <c r="E95" s="298">
        <v>1.7216657169820748E-2</v>
      </c>
      <c r="F95" s="298">
        <v>0.12233571605865014</v>
      </c>
      <c r="G95" s="298">
        <v>0.13605621192601108</v>
      </c>
      <c r="H95" s="298">
        <v>7.0763148414675126E-2</v>
      </c>
      <c r="I95" s="298">
        <v>0.26563628264177047</v>
      </c>
      <c r="J95" s="298">
        <v>0.34165566585023771</v>
      </c>
      <c r="K95" s="298">
        <v>0.22742267911109676</v>
      </c>
      <c r="L95" s="298">
        <v>0.15381673439332844</v>
      </c>
      <c r="M95" s="298">
        <v>0.11558930646976719</v>
      </c>
      <c r="N95" s="298">
        <v>8.4151409301761251E-2</v>
      </c>
      <c r="O95" s="298">
        <v>6.7503639523961864E-2</v>
      </c>
      <c r="P95" s="298">
        <v>5.6413371607669127E-2</v>
      </c>
      <c r="Q95" s="298">
        <v>4.1647697018963321E-2</v>
      </c>
      <c r="R95" s="298">
        <v>3.9799798597555773E-2</v>
      </c>
      <c r="S95" s="298">
        <v>3.9799798597555773E-2</v>
      </c>
      <c r="T95" s="298">
        <v>3.9799798597555773E-2</v>
      </c>
      <c r="U95" s="298">
        <v>3.9799798597555773E-2</v>
      </c>
    </row>
    <row r="96" spans="1:21" ht="14.4" x14ac:dyDescent="0.3">
      <c r="A96" s="43">
        <v>34</v>
      </c>
      <c r="B96" s="43"/>
      <c r="C96" s="1"/>
      <c r="D96" s="298">
        <v>0.15658261184107439</v>
      </c>
      <c r="E96" s="298">
        <v>6.9206297258360139E-2</v>
      </c>
      <c r="F96" s="298">
        <v>0.11719738000471913</v>
      </c>
      <c r="G96" s="298">
        <v>9.0950515996728487E-2</v>
      </c>
      <c r="H96" s="298">
        <v>5.6069430808107633E-2</v>
      </c>
      <c r="I96" s="298">
        <v>0.18457651004529252</v>
      </c>
      <c r="J96" s="298">
        <v>0.21861320828195963</v>
      </c>
      <c r="K96" s="298">
        <v>0.14805460867942424</v>
      </c>
      <c r="L96" s="298">
        <v>0.10865726471480185</v>
      </c>
      <c r="M96" s="298">
        <v>8.7921961526698345E-2</v>
      </c>
      <c r="N96" s="298">
        <v>5.8256465500538285E-2</v>
      </c>
      <c r="O96" s="298">
        <v>4.4253058727944716E-2</v>
      </c>
      <c r="P96" s="298">
        <v>3.9509788445304235E-2</v>
      </c>
      <c r="Q96" s="298">
        <v>2.9542651780987427E-2</v>
      </c>
      <c r="R96" s="298">
        <v>2.8071591122090556E-2</v>
      </c>
      <c r="S96" s="298">
        <v>2.8071591122090556E-2</v>
      </c>
      <c r="T96" s="298">
        <v>2.8071591122090556E-2</v>
      </c>
      <c r="U96" s="298">
        <v>2.8071591122090556E-2</v>
      </c>
    </row>
    <row r="97" spans="1:21" ht="14.4" x14ac:dyDescent="0.3">
      <c r="A97" s="43">
        <v>35</v>
      </c>
      <c r="B97" s="43"/>
      <c r="C97" s="1"/>
      <c r="D97" s="298">
        <v>5.9029852258662023</v>
      </c>
      <c r="E97" s="298">
        <v>1.4733260588243429</v>
      </c>
      <c r="F97" s="298">
        <v>1.2803616292235322</v>
      </c>
      <c r="G97" s="298">
        <v>1.0290257258239199</v>
      </c>
      <c r="H97" s="298">
        <v>0.95078684693100002</v>
      </c>
      <c r="I97" s="298">
        <v>0.68755518357204037</v>
      </c>
      <c r="J97" s="298">
        <v>0.51648077967213191</v>
      </c>
      <c r="K97" s="298">
        <v>0.5658478637815777</v>
      </c>
      <c r="L97" s="298">
        <v>0.55172205299175037</v>
      </c>
      <c r="M97" s="298">
        <v>0.48796466250698262</v>
      </c>
      <c r="N97" s="298">
        <v>0.39029335703643686</v>
      </c>
      <c r="O97" s="298">
        <v>0.36343466624775511</v>
      </c>
      <c r="P97" s="298">
        <v>0.35166631128246867</v>
      </c>
      <c r="Q97" s="298">
        <v>0.28545240285608292</v>
      </c>
      <c r="R97" s="298">
        <v>0.28281840150514814</v>
      </c>
      <c r="S97" s="298">
        <v>0.28281840150514814</v>
      </c>
      <c r="T97" s="298">
        <v>0.28281840150514814</v>
      </c>
      <c r="U97" s="298">
        <v>0.28281840150514814</v>
      </c>
    </row>
    <row r="98" spans="1:21" ht="14.4" x14ac:dyDescent="0.3">
      <c r="A98" s="43">
        <v>36</v>
      </c>
      <c r="B98" s="43"/>
      <c r="C98" s="1"/>
      <c r="D98" s="298">
        <v>0.15658261184107439</v>
      </c>
      <c r="E98" s="298">
        <v>6.9206297258360139E-2</v>
      </c>
      <c r="F98" s="298">
        <v>0.11719738000471913</v>
      </c>
      <c r="G98" s="298">
        <v>9.0950515996728487E-2</v>
      </c>
      <c r="H98" s="298">
        <v>5.6069430808107633E-2</v>
      </c>
      <c r="I98" s="298">
        <v>0.18457651004529252</v>
      </c>
      <c r="J98" s="298">
        <v>0.21861320828195963</v>
      </c>
      <c r="K98" s="298">
        <v>0.14805460867942424</v>
      </c>
      <c r="L98" s="298">
        <v>0.10865726471480185</v>
      </c>
      <c r="M98" s="298">
        <v>8.7921961526698345E-2</v>
      </c>
      <c r="N98" s="298">
        <v>5.8256465500538285E-2</v>
      </c>
      <c r="O98" s="298">
        <v>4.4253058727944716E-2</v>
      </c>
      <c r="P98" s="298">
        <v>3.9509788445304235E-2</v>
      </c>
      <c r="Q98" s="298">
        <v>2.9542651780987427E-2</v>
      </c>
      <c r="R98" s="298">
        <v>2.8071591122090556E-2</v>
      </c>
      <c r="S98" s="298">
        <v>2.8071591122090556E-2</v>
      </c>
      <c r="T98" s="298">
        <v>2.8071591122090556E-2</v>
      </c>
      <c r="U98" s="298">
        <v>2.8071591122090556E-2</v>
      </c>
    </row>
    <row r="99" spans="1:21" ht="14.4" x14ac:dyDescent="0.3">
      <c r="A99" s="43">
        <v>37</v>
      </c>
      <c r="B99" s="43"/>
      <c r="C99" s="1"/>
      <c r="D99" s="298">
        <v>4.7242605294817244</v>
      </c>
      <c r="E99" s="298">
        <v>1.4147795985274163</v>
      </c>
      <c r="F99" s="298">
        <v>0.86563302172429457</v>
      </c>
      <c r="G99" s="298">
        <v>0.58792408051231626</v>
      </c>
      <c r="H99" s="298">
        <v>0.44571284137714501</v>
      </c>
      <c r="I99" s="298">
        <v>0.35071388358174704</v>
      </c>
      <c r="J99" s="298">
        <v>0.34192356461046053</v>
      </c>
      <c r="K99" s="298">
        <v>0.32136315457507253</v>
      </c>
      <c r="L99" s="298">
        <v>0.32334277343163409</v>
      </c>
      <c r="M99" s="298">
        <v>0.31458122808120276</v>
      </c>
      <c r="N99" s="298">
        <v>0.26038899134139826</v>
      </c>
      <c r="O99" s="298">
        <v>0.23293659142238254</v>
      </c>
      <c r="P99" s="298">
        <v>0.23495243567481122</v>
      </c>
      <c r="Q99" s="298">
        <v>0.1983093021126322</v>
      </c>
      <c r="R99" s="298">
        <v>0.19995839901366486</v>
      </c>
      <c r="S99" s="298">
        <v>0.19995839901366486</v>
      </c>
      <c r="T99" s="298">
        <v>0.19995839901366486</v>
      </c>
      <c r="U99" s="298">
        <v>0.19995839901366486</v>
      </c>
    </row>
    <row r="100" spans="1:21" ht="14.4" x14ac:dyDescent="0.3">
      <c r="A100" s="43">
        <v>38</v>
      </c>
      <c r="B100" s="43"/>
      <c r="C100" s="1"/>
      <c r="D100" s="298">
        <v>0.15658261184107439</v>
      </c>
      <c r="E100" s="298">
        <v>6.9206297258360139E-2</v>
      </c>
      <c r="F100" s="298">
        <v>0.11719738000471913</v>
      </c>
      <c r="G100" s="298">
        <v>9.0950515996728487E-2</v>
      </c>
      <c r="H100" s="298">
        <v>5.6069430808107633E-2</v>
      </c>
      <c r="I100" s="298">
        <v>0.18457651004529252</v>
      </c>
      <c r="J100" s="298">
        <v>0.21861320828195963</v>
      </c>
      <c r="K100" s="298">
        <v>0.14805460867942424</v>
      </c>
      <c r="L100" s="298">
        <v>0.10865726471480185</v>
      </c>
      <c r="M100" s="298">
        <v>8.7921961526698345E-2</v>
      </c>
      <c r="N100" s="298">
        <v>5.8256465500538285E-2</v>
      </c>
      <c r="O100" s="298">
        <v>4.4253058727944716E-2</v>
      </c>
      <c r="P100" s="298">
        <v>3.9509788445304235E-2</v>
      </c>
      <c r="Q100" s="298">
        <v>2.9542651780987427E-2</v>
      </c>
      <c r="R100" s="298">
        <v>2.8071591122090556E-2</v>
      </c>
      <c r="S100" s="298">
        <v>2.8071591122090556E-2</v>
      </c>
      <c r="T100" s="298">
        <v>2.8071591122090556E-2</v>
      </c>
      <c r="U100" s="298">
        <v>2.8071591122090556E-2</v>
      </c>
    </row>
    <row r="101" spans="1:21" ht="14.4" x14ac:dyDescent="0.3">
      <c r="A101" s="43">
        <v>39</v>
      </c>
      <c r="B101" s="43"/>
      <c r="C101" s="1"/>
      <c r="D101" s="298">
        <v>0.2079850899943797</v>
      </c>
      <c r="E101" s="298">
        <v>0.13041647508011303</v>
      </c>
      <c r="F101" s="298">
        <v>0.12947509110634475</v>
      </c>
      <c r="G101" s="298">
        <v>0.11009404781577684</v>
      </c>
      <c r="H101" s="298">
        <v>6.014929527512837E-2</v>
      </c>
      <c r="I101" s="298">
        <v>0.21949671273146126</v>
      </c>
      <c r="J101" s="298">
        <v>0.27640701454444089</v>
      </c>
      <c r="K101" s="298">
        <v>0.17818419975534588</v>
      </c>
      <c r="L101" s="298">
        <v>0.12256174642203793</v>
      </c>
      <c r="M101" s="298">
        <v>9.8387203409769475E-2</v>
      </c>
      <c r="N101" s="298">
        <v>7.1958024598108364E-2</v>
      </c>
      <c r="O101" s="298">
        <v>5.1366620792552581E-2</v>
      </c>
      <c r="P101" s="298">
        <v>4.2850088405828553E-2</v>
      </c>
      <c r="Q101" s="298">
        <v>3.5922322150466021E-2</v>
      </c>
      <c r="R101" s="298">
        <v>3.4556391879303032E-2</v>
      </c>
      <c r="S101" s="298">
        <v>3.4556391879303032E-2</v>
      </c>
      <c r="T101" s="298">
        <v>3.4556391879303032E-2</v>
      </c>
      <c r="U101" s="298">
        <v>3.4556391879303032E-2</v>
      </c>
    </row>
    <row r="102" spans="1:21" ht="14.4" x14ac:dyDescent="0.3">
      <c r="A102" s="43">
        <v>40</v>
      </c>
      <c r="B102" s="43"/>
      <c r="C102" s="1"/>
      <c r="D102" s="298">
        <v>0.15658261184107439</v>
      </c>
      <c r="E102" s="298">
        <v>6.9206297258360139E-2</v>
      </c>
      <c r="F102" s="298">
        <v>0.11719738000471913</v>
      </c>
      <c r="G102" s="298">
        <v>9.0950515996728487E-2</v>
      </c>
      <c r="H102" s="298">
        <v>5.6069430808107633E-2</v>
      </c>
      <c r="I102" s="298">
        <v>0.18457651004529252</v>
      </c>
      <c r="J102" s="298">
        <v>0.21861320828195963</v>
      </c>
      <c r="K102" s="298">
        <v>0.14805460867942424</v>
      </c>
      <c r="L102" s="298">
        <v>0.10865726471480185</v>
      </c>
      <c r="M102" s="298">
        <v>8.7921961526698345E-2</v>
      </c>
      <c r="N102" s="298">
        <v>5.8256465500538285E-2</v>
      </c>
      <c r="O102" s="298">
        <v>4.4253058727944716E-2</v>
      </c>
      <c r="P102" s="298">
        <v>3.9509788445304235E-2</v>
      </c>
      <c r="Q102" s="298">
        <v>2.9542651780987427E-2</v>
      </c>
      <c r="R102" s="298">
        <v>2.8071591122090556E-2</v>
      </c>
      <c r="S102" s="298">
        <v>2.8071591122090556E-2</v>
      </c>
      <c r="T102" s="298">
        <v>2.8071591122090556E-2</v>
      </c>
      <c r="U102" s="298">
        <v>2.8071591122090556E-2</v>
      </c>
    </row>
    <row r="103" spans="1:21" ht="14.4" x14ac:dyDescent="0.3">
      <c r="A103" s="43">
        <v>41</v>
      </c>
      <c r="B103" s="43"/>
      <c r="C103" s="1"/>
      <c r="D103" s="298">
        <v>2.9593523720748518</v>
      </c>
      <c r="E103" s="298">
        <v>1.3960448536050045</v>
      </c>
      <c r="F103" s="298">
        <v>0.9788469484846104</v>
      </c>
      <c r="G103" s="298">
        <v>0.76626902234982497</v>
      </c>
      <c r="H103" s="298">
        <v>0.64986432358583057</v>
      </c>
      <c r="I103" s="298">
        <v>0.49479101470748305</v>
      </c>
      <c r="J103" s="298">
        <v>0.39951328972932304</v>
      </c>
      <c r="K103" s="298">
        <v>0.41594580564321404</v>
      </c>
      <c r="L103" s="298">
        <v>0.37579029347140652</v>
      </c>
      <c r="M103" s="298">
        <v>0.32440122806902955</v>
      </c>
      <c r="N103" s="298">
        <v>0.30529874652047795</v>
      </c>
      <c r="O103" s="298">
        <v>0.272856325769609</v>
      </c>
      <c r="P103" s="298">
        <v>0.23528249165808171</v>
      </c>
      <c r="Q103" s="298">
        <v>0.21930268062364178</v>
      </c>
      <c r="R103" s="298">
        <v>0.21942223358685053</v>
      </c>
      <c r="S103" s="298">
        <v>0.21942223358685053</v>
      </c>
      <c r="T103" s="298">
        <v>0.21942223358685053</v>
      </c>
      <c r="U103" s="298">
        <v>0.21942223358685053</v>
      </c>
    </row>
    <row r="104" spans="1:21" ht="14.4" x14ac:dyDescent="0.3">
      <c r="A104" s="43">
        <v>42</v>
      </c>
      <c r="B104" s="43"/>
      <c r="C104" s="1"/>
      <c r="D104" s="298">
        <v>0.15658261184107439</v>
      </c>
      <c r="E104" s="298">
        <v>6.9206297258360139E-2</v>
      </c>
      <c r="F104" s="298">
        <v>0.11719738000471913</v>
      </c>
      <c r="G104" s="298">
        <v>9.0950515996728487E-2</v>
      </c>
      <c r="H104" s="298">
        <v>5.6069430808107633E-2</v>
      </c>
      <c r="I104" s="298">
        <v>0.18457651004529252</v>
      </c>
      <c r="J104" s="298">
        <v>0.21861320828195963</v>
      </c>
      <c r="K104" s="298">
        <v>0.14805460867942424</v>
      </c>
      <c r="L104" s="298">
        <v>0.10865726471480185</v>
      </c>
      <c r="M104" s="298">
        <v>8.7921961526698345E-2</v>
      </c>
      <c r="N104" s="298">
        <v>5.8256465500538285E-2</v>
      </c>
      <c r="O104" s="298">
        <v>4.4253058727944716E-2</v>
      </c>
      <c r="P104" s="298">
        <v>3.9509788445304235E-2</v>
      </c>
      <c r="Q104" s="298">
        <v>2.9542651780987427E-2</v>
      </c>
      <c r="R104" s="298">
        <v>2.8071591122090556E-2</v>
      </c>
      <c r="S104" s="298">
        <v>2.8071591122090556E-2</v>
      </c>
      <c r="T104" s="298">
        <v>2.8071591122090556E-2</v>
      </c>
      <c r="U104" s="298">
        <v>2.8071591122090556E-2</v>
      </c>
    </row>
    <row r="105" spans="1:21" ht="14.4" x14ac:dyDescent="0.3">
      <c r="A105" s="43">
        <v>43</v>
      </c>
      <c r="B105" s="43"/>
      <c r="C105" s="1"/>
      <c r="D105" s="298">
        <v>2.2178560512821952</v>
      </c>
      <c r="E105" s="298">
        <v>1.1905972320783262</v>
      </c>
      <c r="F105" s="298">
        <v>0.75615175660327605</v>
      </c>
      <c r="G105" s="298">
        <v>0.45362551647456517</v>
      </c>
      <c r="H105" s="298">
        <v>0.28528173727691464</v>
      </c>
      <c r="I105" s="298">
        <v>0.21779752656057286</v>
      </c>
      <c r="J105" s="298">
        <v>0.25538951981730396</v>
      </c>
      <c r="K105" s="298">
        <v>0.24818871965708805</v>
      </c>
      <c r="L105" s="298">
        <v>0.22308863199724832</v>
      </c>
      <c r="M105" s="298">
        <v>0.19779080449305989</v>
      </c>
      <c r="N105" s="298">
        <v>0.1877023014843526</v>
      </c>
      <c r="O105" s="298">
        <v>0.18024721970812474</v>
      </c>
      <c r="P105" s="298">
        <v>0.14969356494618877</v>
      </c>
      <c r="Q105" s="298">
        <v>0.15402172112964774</v>
      </c>
      <c r="R105" s="298">
        <v>0.14788153997371078</v>
      </c>
      <c r="S105" s="298">
        <v>0.14788153997371078</v>
      </c>
      <c r="T105" s="298">
        <v>0.14788153997371078</v>
      </c>
      <c r="U105" s="298">
        <v>0.14788153997371078</v>
      </c>
    </row>
    <row r="106" spans="1:21" ht="14.4" x14ac:dyDescent="0.3">
      <c r="A106" s="43">
        <v>44</v>
      </c>
      <c r="B106" s="43"/>
      <c r="C106" s="1"/>
      <c r="D106" s="298">
        <v>0.15658261184107439</v>
      </c>
      <c r="E106" s="298">
        <v>6.9206297258360139E-2</v>
      </c>
      <c r="F106" s="298">
        <v>0.11719738000471913</v>
      </c>
      <c r="G106" s="298">
        <v>9.0950515996728487E-2</v>
      </c>
      <c r="H106" s="298">
        <v>5.6069430808107633E-2</v>
      </c>
      <c r="I106" s="298">
        <v>0.18457651004529252</v>
      </c>
      <c r="J106" s="298">
        <v>0.21861320828195963</v>
      </c>
      <c r="K106" s="298">
        <v>0.14805460867942424</v>
      </c>
      <c r="L106" s="298">
        <v>0.10865726471480185</v>
      </c>
      <c r="M106" s="298">
        <v>8.7921961526698345E-2</v>
      </c>
      <c r="N106" s="298">
        <v>5.8256465500538285E-2</v>
      </c>
      <c r="O106" s="298">
        <v>4.4253058727944716E-2</v>
      </c>
      <c r="P106" s="298">
        <v>3.9509788445304235E-2</v>
      </c>
      <c r="Q106" s="298">
        <v>2.9542651780987427E-2</v>
      </c>
      <c r="R106" s="298">
        <v>2.8071591122090556E-2</v>
      </c>
      <c r="S106" s="298">
        <v>2.8071591122090556E-2</v>
      </c>
      <c r="T106" s="298">
        <v>2.8071591122090556E-2</v>
      </c>
      <c r="U106" s="298">
        <v>2.8071591122090556E-2</v>
      </c>
    </row>
    <row r="107" spans="1:21" ht="14.4" x14ac:dyDescent="0.3">
      <c r="A107" s="43">
        <v>45</v>
      </c>
      <c r="B107" s="43"/>
      <c r="C107" s="1"/>
      <c r="D107" s="298">
        <v>0.15674381381219379</v>
      </c>
      <c r="E107" s="298">
        <v>6.9135515452953725E-2</v>
      </c>
      <c r="F107" s="298">
        <v>0.11721931861181524</v>
      </c>
      <c r="G107" s="298">
        <v>9.0976276916425139E-2</v>
      </c>
      <c r="H107" s="298">
        <v>5.5974795488511517E-2</v>
      </c>
      <c r="I107" s="298">
        <v>0.18455139999068912</v>
      </c>
      <c r="J107" s="298">
        <v>0.21866515563030009</v>
      </c>
      <c r="K107" s="298">
        <v>0.14808361462956454</v>
      </c>
      <c r="L107" s="298">
        <v>0.10867252849450271</v>
      </c>
      <c r="M107" s="298">
        <v>8.7932880027034033E-2</v>
      </c>
      <c r="N107" s="298">
        <v>5.8261619608528936E-2</v>
      </c>
      <c r="O107" s="298">
        <v>4.4254803859095013E-2</v>
      </c>
      <c r="P107" s="298">
        <v>3.9511622355493263E-2</v>
      </c>
      <c r="Q107" s="298">
        <v>2.9543012509050892E-2</v>
      </c>
      <c r="R107" s="298">
        <v>2.8071590865564936E-2</v>
      </c>
      <c r="S107" s="298">
        <v>2.8071590865564936E-2</v>
      </c>
      <c r="T107" s="298">
        <v>2.8071590865564936E-2</v>
      </c>
      <c r="U107" s="298">
        <v>2.8071590865564936E-2</v>
      </c>
    </row>
    <row r="108" spans="1:21" ht="14.4" x14ac:dyDescent="0.3">
      <c r="A108" s="43">
        <v>46</v>
      </c>
      <c r="B108" s="43"/>
      <c r="C108" s="1"/>
      <c r="D108" s="298">
        <v>0.15658261184107439</v>
      </c>
      <c r="E108" s="298">
        <v>6.9206297258360139E-2</v>
      </c>
      <c r="F108" s="298">
        <v>0.11719738000471913</v>
      </c>
      <c r="G108" s="298">
        <v>9.0950515996728487E-2</v>
      </c>
      <c r="H108" s="298">
        <v>5.6069430808107633E-2</v>
      </c>
      <c r="I108" s="298">
        <v>0.18457651004529252</v>
      </c>
      <c r="J108" s="298">
        <v>0.21861320828195963</v>
      </c>
      <c r="K108" s="298">
        <v>0.14805460867942424</v>
      </c>
      <c r="L108" s="298">
        <v>0.10865726471480185</v>
      </c>
      <c r="M108" s="298">
        <v>8.7921961526698345E-2</v>
      </c>
      <c r="N108" s="298">
        <v>5.8256465500538285E-2</v>
      </c>
      <c r="O108" s="298">
        <v>4.4253058727944716E-2</v>
      </c>
      <c r="P108" s="298">
        <v>3.9509788445304235E-2</v>
      </c>
      <c r="Q108" s="298">
        <v>2.9542651780987427E-2</v>
      </c>
      <c r="R108" s="298">
        <v>2.8071591122090556E-2</v>
      </c>
      <c r="S108" s="298">
        <v>2.8071591122090556E-2</v>
      </c>
      <c r="T108" s="298">
        <v>2.8071591122090556E-2</v>
      </c>
      <c r="U108" s="298">
        <v>2.8071591122090556E-2</v>
      </c>
    </row>
    <row r="109" spans="1:21" ht="14.4" x14ac:dyDescent="0.3">
      <c r="A109" s="43">
        <v>47</v>
      </c>
      <c r="B109" s="43"/>
      <c r="C109" s="1"/>
      <c r="D109" s="298">
        <v>2.3268630691236321</v>
      </c>
      <c r="E109" s="298">
        <v>0.78641478977548207</v>
      </c>
      <c r="F109" s="298">
        <v>0.65683719239534155</v>
      </c>
      <c r="G109" s="298">
        <v>0.58143321676267457</v>
      </c>
      <c r="H109" s="298">
        <v>0.44928960665019158</v>
      </c>
      <c r="I109" s="298">
        <v>0.41294151992551731</v>
      </c>
      <c r="J109" s="298">
        <v>0.2940568330031525</v>
      </c>
      <c r="K109" s="298">
        <v>0.2786885915405366</v>
      </c>
      <c r="L109" s="298">
        <v>0.26697263616116279</v>
      </c>
      <c r="M109" s="298">
        <v>0.26064585390490097</v>
      </c>
      <c r="N109" s="298">
        <v>0.2367936036530196</v>
      </c>
      <c r="O109" s="298">
        <v>0.19038468562778788</v>
      </c>
      <c r="P109" s="298">
        <v>0.18456070692514012</v>
      </c>
      <c r="Q109" s="298">
        <v>0.16108516476637483</v>
      </c>
      <c r="R109" s="298">
        <v>0.15522073313539117</v>
      </c>
      <c r="S109" s="298">
        <v>0.15522073313539117</v>
      </c>
      <c r="T109" s="298">
        <v>0.15522073313539117</v>
      </c>
      <c r="U109" s="298">
        <v>0.15522073313539117</v>
      </c>
    </row>
    <row r="110" spans="1:21" ht="14.4" x14ac:dyDescent="0.3">
      <c r="A110" s="43">
        <v>48</v>
      </c>
      <c r="B110" s="43"/>
      <c r="C110" s="1"/>
      <c r="D110" s="298">
        <v>0.15658261184107439</v>
      </c>
      <c r="E110" s="298">
        <v>6.9206297258360139E-2</v>
      </c>
      <c r="F110" s="298">
        <v>0.11719738000471913</v>
      </c>
      <c r="G110" s="298">
        <v>9.0950515996728487E-2</v>
      </c>
      <c r="H110" s="298">
        <v>5.6069430808107633E-2</v>
      </c>
      <c r="I110" s="298">
        <v>0.18457651004529252</v>
      </c>
      <c r="J110" s="298">
        <v>0.21861320828195963</v>
      </c>
      <c r="K110" s="298">
        <v>0.14805460867942424</v>
      </c>
      <c r="L110" s="298">
        <v>0.10865726471480185</v>
      </c>
      <c r="M110" s="298">
        <v>8.7921961526698345E-2</v>
      </c>
      <c r="N110" s="298">
        <v>5.8256465500538285E-2</v>
      </c>
      <c r="O110" s="298">
        <v>4.4253058727944716E-2</v>
      </c>
      <c r="P110" s="298">
        <v>3.9509788445304235E-2</v>
      </c>
      <c r="Q110" s="298">
        <v>2.9542651780987427E-2</v>
      </c>
      <c r="R110" s="298">
        <v>2.8071591122090556E-2</v>
      </c>
      <c r="S110" s="298">
        <v>2.8071591122090556E-2</v>
      </c>
      <c r="T110" s="298">
        <v>2.8071591122090556E-2</v>
      </c>
      <c r="U110" s="298">
        <v>2.8071591122090556E-2</v>
      </c>
    </row>
    <row r="111" spans="1:21" ht="14.4" x14ac:dyDescent="0.3">
      <c r="A111" s="43">
        <v>49</v>
      </c>
      <c r="B111" s="43"/>
      <c r="C111" s="1"/>
      <c r="D111" s="298">
        <v>2.222090686942058</v>
      </c>
      <c r="E111" s="298">
        <v>0.8231320290067401</v>
      </c>
      <c r="F111" s="298">
        <v>0.54372728367538525</v>
      </c>
      <c r="G111" s="298">
        <v>0.33388586731319231</v>
      </c>
      <c r="H111" s="298">
        <v>0.20472977887589594</v>
      </c>
      <c r="I111" s="298">
        <v>0.16067909526322774</v>
      </c>
      <c r="J111" s="298">
        <v>0.19635848943192444</v>
      </c>
      <c r="K111" s="298">
        <v>0.18022284651166184</v>
      </c>
      <c r="L111" s="298">
        <v>0.15241194609444156</v>
      </c>
      <c r="M111" s="298">
        <v>0.14568078669873447</v>
      </c>
      <c r="N111" s="298">
        <v>0.14316623416465049</v>
      </c>
      <c r="O111" s="298">
        <v>0.11820986355275069</v>
      </c>
      <c r="P111" s="298">
        <v>0.11324661442841535</v>
      </c>
      <c r="Q111" s="298">
        <v>0.10591950094820782</v>
      </c>
      <c r="R111" s="298">
        <v>0.10181373046970461</v>
      </c>
      <c r="S111" s="298">
        <v>0.10181373046970461</v>
      </c>
      <c r="T111" s="298">
        <v>0.10181373046970461</v>
      </c>
      <c r="U111" s="298">
        <v>0.10181373046970461</v>
      </c>
    </row>
    <row r="112" spans="1:21" ht="14.4" x14ac:dyDescent="0.3">
      <c r="A112" s="43">
        <v>50</v>
      </c>
      <c r="B112" s="43"/>
      <c r="C112" s="1"/>
      <c r="D112" s="298">
        <v>0.15658261184107439</v>
      </c>
      <c r="E112" s="298">
        <v>6.9206297258360139E-2</v>
      </c>
      <c r="F112" s="298">
        <v>0.11719738000471913</v>
      </c>
      <c r="G112" s="298">
        <v>9.0950515996728487E-2</v>
      </c>
      <c r="H112" s="298">
        <v>5.6069430808107633E-2</v>
      </c>
      <c r="I112" s="298">
        <v>0.18457651004529252</v>
      </c>
      <c r="J112" s="298">
        <v>0.21861320828195963</v>
      </c>
      <c r="K112" s="298">
        <v>0.14805460867942424</v>
      </c>
      <c r="L112" s="298">
        <v>0.10865726471480185</v>
      </c>
      <c r="M112" s="298">
        <v>8.7921961526698345E-2</v>
      </c>
      <c r="N112" s="298">
        <v>5.8256465500538285E-2</v>
      </c>
      <c r="O112" s="298">
        <v>4.4253058727944716E-2</v>
      </c>
      <c r="P112" s="298">
        <v>3.9509788445304235E-2</v>
      </c>
      <c r="Q112" s="298">
        <v>2.9542651780987427E-2</v>
      </c>
      <c r="R112" s="298">
        <v>2.8071591122090556E-2</v>
      </c>
      <c r="S112" s="298">
        <v>2.8071591122090556E-2</v>
      </c>
      <c r="T112" s="298">
        <v>2.8071591122090556E-2</v>
      </c>
      <c r="U112" s="298">
        <v>2.8071591122090556E-2</v>
      </c>
    </row>
    <row r="113" spans="2:21" x14ac:dyDescent="0.25">
      <c r="D113" s="51"/>
    </row>
    <row r="114" spans="2:21" x14ac:dyDescent="0.25">
      <c r="B114" s="26" t="s">
        <v>5</v>
      </c>
      <c r="D114" s="32">
        <f t="shared" ref="D114:U114" si="7">SQRT(SUMSQ(D64:D112))</f>
        <v>163.93774717643851</v>
      </c>
      <c r="E114" s="32">
        <f t="shared" si="7"/>
        <v>113.48802501155089</v>
      </c>
      <c r="F114" s="32">
        <f t="shared" si="7"/>
        <v>92.201479834948017</v>
      </c>
      <c r="G114" s="32">
        <f t="shared" si="7"/>
        <v>70.914070764570482</v>
      </c>
      <c r="H114" s="32">
        <f t="shared" si="7"/>
        <v>54.750054571794223</v>
      </c>
      <c r="I114" s="32">
        <f t="shared" si="7"/>
        <v>45.409107972180678</v>
      </c>
      <c r="J114" s="32">
        <f t="shared" si="7"/>
        <v>40.452846599409661</v>
      </c>
      <c r="K114" s="32">
        <f t="shared" si="7"/>
        <v>36.567604373048553</v>
      </c>
      <c r="L114" s="32">
        <f t="shared" si="7"/>
        <v>33.722497172696237</v>
      </c>
      <c r="M114" s="32">
        <f t="shared" si="7"/>
        <v>31.537820676686238</v>
      </c>
      <c r="N114" s="32">
        <f t="shared" si="7"/>
        <v>28.353599859458789</v>
      </c>
      <c r="O114" s="32">
        <f t="shared" si="7"/>
        <v>26.003967172553079</v>
      </c>
      <c r="P114" s="32">
        <f t="shared" si="7"/>
        <v>24.160245237926446</v>
      </c>
      <c r="Q114" s="32">
        <f t="shared" si="7"/>
        <v>21.249690073067327</v>
      </c>
      <c r="R114" s="32">
        <f t="shared" si="7"/>
        <v>21.247242746791578</v>
      </c>
      <c r="S114" s="32">
        <f t="shared" si="7"/>
        <v>21.247242746791578</v>
      </c>
      <c r="T114" s="32">
        <f t="shared" si="7"/>
        <v>21.247242746791578</v>
      </c>
      <c r="U114" s="32">
        <f t="shared" si="7"/>
        <v>21.247242746791578</v>
      </c>
    </row>
    <row r="116" spans="2:21" x14ac:dyDescent="0.25">
      <c r="D116" s="32"/>
      <c r="E116" s="32"/>
      <c r="F116" s="32"/>
      <c r="G116" s="32"/>
      <c r="H116" s="32"/>
      <c r="I116" s="32"/>
    </row>
    <row r="118" spans="2:21" x14ac:dyDescent="0.25">
      <c r="D118" s="32"/>
      <c r="E118" s="32"/>
      <c r="F118" s="32"/>
      <c r="G118" s="32"/>
      <c r="H118" s="32"/>
      <c r="I118" s="32"/>
    </row>
  </sheetData>
  <pageMargins left="0.75" right="0.75" top="1" bottom="1" header="0.5" footer="0.5"/>
  <pageSetup scale="86" fitToWidth="2" fitToHeight="2" orientation="portrait" r:id="rId1"/>
  <headerFooter alignWithMargins="0">
    <oddHeader>&amp;R&amp;D
&amp;T
rh</oddHeader>
    <oddFooter>&amp;L&amp;F
&amp;A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U118"/>
  <sheetViews>
    <sheetView workbookViewId="0"/>
  </sheetViews>
  <sheetFormatPr defaultRowHeight="13.2" x14ac:dyDescent="0.25"/>
  <cols>
    <col min="1" max="6" width="9.109375" style="26"/>
    <col min="7" max="7" width="9.109375" style="26" customWidth="1"/>
    <col min="8" max="8" width="10.6640625" style="26" customWidth="1"/>
    <col min="9" max="9" width="9.109375" style="26"/>
    <col min="10" max="10" width="9.109375" style="26" customWidth="1"/>
    <col min="11" max="11" width="9.5546875" style="26" bestFit="1" customWidth="1"/>
    <col min="12" max="14" width="9.109375" style="26" customWidth="1"/>
    <col min="15" max="19" width="9.5546875" style="26" bestFit="1" customWidth="1"/>
    <col min="20" max="262" width="9.109375" style="26"/>
    <col min="263" max="263" width="9.5546875" style="26" bestFit="1" customWidth="1"/>
    <col min="264" max="264" width="10.6640625" style="26" customWidth="1"/>
    <col min="265" max="518" width="9.109375" style="26"/>
    <col min="519" max="519" width="9.5546875" style="26" bestFit="1" customWidth="1"/>
    <col min="520" max="520" width="10.6640625" style="26" customWidth="1"/>
    <col min="521" max="774" width="9.109375" style="26"/>
    <col min="775" max="775" width="9.5546875" style="26" bestFit="1" customWidth="1"/>
    <col min="776" max="776" width="10.6640625" style="26" customWidth="1"/>
    <col min="777" max="1030" width="9.109375" style="26"/>
    <col min="1031" max="1031" width="9.5546875" style="26" bestFit="1" customWidth="1"/>
    <col min="1032" max="1032" width="10.6640625" style="26" customWidth="1"/>
    <col min="1033" max="1286" width="9.109375" style="26"/>
    <col min="1287" max="1287" width="9.5546875" style="26" bestFit="1" customWidth="1"/>
    <col min="1288" max="1288" width="10.6640625" style="26" customWidth="1"/>
    <col min="1289" max="1542" width="9.109375" style="26"/>
    <col min="1543" max="1543" width="9.5546875" style="26" bestFit="1" customWidth="1"/>
    <col min="1544" max="1544" width="10.6640625" style="26" customWidth="1"/>
    <col min="1545" max="1798" width="9.109375" style="26"/>
    <col min="1799" max="1799" width="9.5546875" style="26" bestFit="1" customWidth="1"/>
    <col min="1800" max="1800" width="10.6640625" style="26" customWidth="1"/>
    <col min="1801" max="2054" width="9.109375" style="26"/>
    <col min="2055" max="2055" width="9.5546875" style="26" bestFit="1" customWidth="1"/>
    <col min="2056" max="2056" width="10.6640625" style="26" customWidth="1"/>
    <col min="2057" max="2310" width="9.109375" style="26"/>
    <col min="2311" max="2311" width="9.5546875" style="26" bestFit="1" customWidth="1"/>
    <col min="2312" max="2312" width="10.6640625" style="26" customWidth="1"/>
    <col min="2313" max="2566" width="9.109375" style="26"/>
    <col min="2567" max="2567" width="9.5546875" style="26" bestFit="1" customWidth="1"/>
    <col min="2568" max="2568" width="10.6640625" style="26" customWidth="1"/>
    <col min="2569" max="2822" width="9.109375" style="26"/>
    <col min="2823" max="2823" width="9.5546875" style="26" bestFit="1" customWidth="1"/>
    <col min="2824" max="2824" width="10.6640625" style="26" customWidth="1"/>
    <col min="2825" max="3078" width="9.109375" style="26"/>
    <col min="3079" max="3079" width="9.5546875" style="26" bestFit="1" customWidth="1"/>
    <col min="3080" max="3080" width="10.6640625" style="26" customWidth="1"/>
    <col min="3081" max="3334" width="9.109375" style="26"/>
    <col min="3335" max="3335" width="9.5546875" style="26" bestFit="1" customWidth="1"/>
    <col min="3336" max="3336" width="10.6640625" style="26" customWidth="1"/>
    <col min="3337" max="3590" width="9.109375" style="26"/>
    <col min="3591" max="3591" width="9.5546875" style="26" bestFit="1" customWidth="1"/>
    <col min="3592" max="3592" width="10.6640625" style="26" customWidth="1"/>
    <col min="3593" max="3846" width="9.109375" style="26"/>
    <col min="3847" max="3847" width="9.5546875" style="26" bestFit="1" customWidth="1"/>
    <col min="3848" max="3848" width="10.6640625" style="26" customWidth="1"/>
    <col min="3849" max="4102" width="9.109375" style="26"/>
    <col min="4103" max="4103" width="9.5546875" style="26" bestFit="1" customWidth="1"/>
    <col min="4104" max="4104" width="10.6640625" style="26" customWidth="1"/>
    <col min="4105" max="4358" width="9.109375" style="26"/>
    <col min="4359" max="4359" width="9.5546875" style="26" bestFit="1" customWidth="1"/>
    <col min="4360" max="4360" width="10.6640625" style="26" customWidth="1"/>
    <col min="4361" max="4614" width="9.109375" style="26"/>
    <col min="4615" max="4615" width="9.5546875" style="26" bestFit="1" customWidth="1"/>
    <col min="4616" max="4616" width="10.6640625" style="26" customWidth="1"/>
    <col min="4617" max="4870" width="9.109375" style="26"/>
    <col min="4871" max="4871" width="9.5546875" style="26" bestFit="1" customWidth="1"/>
    <col min="4872" max="4872" width="10.6640625" style="26" customWidth="1"/>
    <col min="4873" max="5126" width="9.109375" style="26"/>
    <col min="5127" max="5127" width="9.5546875" style="26" bestFit="1" customWidth="1"/>
    <col min="5128" max="5128" width="10.6640625" style="26" customWidth="1"/>
    <col min="5129" max="5382" width="9.109375" style="26"/>
    <col min="5383" max="5383" width="9.5546875" style="26" bestFit="1" customWidth="1"/>
    <col min="5384" max="5384" width="10.6640625" style="26" customWidth="1"/>
    <col min="5385" max="5638" width="9.109375" style="26"/>
    <col min="5639" max="5639" width="9.5546875" style="26" bestFit="1" customWidth="1"/>
    <col min="5640" max="5640" width="10.6640625" style="26" customWidth="1"/>
    <col min="5641" max="5894" width="9.109375" style="26"/>
    <col min="5895" max="5895" width="9.5546875" style="26" bestFit="1" customWidth="1"/>
    <col min="5896" max="5896" width="10.6640625" style="26" customWidth="1"/>
    <col min="5897" max="6150" width="9.109375" style="26"/>
    <col min="6151" max="6151" width="9.5546875" style="26" bestFit="1" customWidth="1"/>
    <col min="6152" max="6152" width="10.6640625" style="26" customWidth="1"/>
    <col min="6153" max="6406" width="9.109375" style="26"/>
    <col min="6407" max="6407" width="9.5546875" style="26" bestFit="1" customWidth="1"/>
    <col min="6408" max="6408" width="10.6640625" style="26" customWidth="1"/>
    <col min="6409" max="6662" width="9.109375" style="26"/>
    <col min="6663" max="6663" width="9.5546875" style="26" bestFit="1" customWidth="1"/>
    <col min="6664" max="6664" width="10.6640625" style="26" customWidth="1"/>
    <col min="6665" max="6918" width="9.109375" style="26"/>
    <col min="6919" max="6919" width="9.5546875" style="26" bestFit="1" customWidth="1"/>
    <col min="6920" max="6920" width="10.6640625" style="26" customWidth="1"/>
    <col min="6921" max="7174" width="9.109375" style="26"/>
    <col min="7175" max="7175" width="9.5546875" style="26" bestFit="1" customWidth="1"/>
    <col min="7176" max="7176" width="10.6640625" style="26" customWidth="1"/>
    <col min="7177" max="7430" width="9.109375" style="26"/>
    <col min="7431" max="7431" width="9.5546875" style="26" bestFit="1" customWidth="1"/>
    <col min="7432" max="7432" width="10.6640625" style="26" customWidth="1"/>
    <col min="7433" max="7686" width="9.109375" style="26"/>
    <col min="7687" max="7687" width="9.5546875" style="26" bestFit="1" customWidth="1"/>
    <col min="7688" max="7688" width="10.6640625" style="26" customWidth="1"/>
    <col min="7689" max="7942" width="9.109375" style="26"/>
    <col min="7943" max="7943" width="9.5546875" style="26" bestFit="1" customWidth="1"/>
    <col min="7944" max="7944" width="10.6640625" style="26" customWidth="1"/>
    <col min="7945" max="8198" width="9.109375" style="26"/>
    <col min="8199" max="8199" width="9.5546875" style="26" bestFit="1" customWidth="1"/>
    <col min="8200" max="8200" width="10.6640625" style="26" customWidth="1"/>
    <col min="8201" max="8454" width="9.109375" style="26"/>
    <col min="8455" max="8455" width="9.5546875" style="26" bestFit="1" customWidth="1"/>
    <col min="8456" max="8456" width="10.6640625" style="26" customWidth="1"/>
    <col min="8457" max="8710" width="9.109375" style="26"/>
    <col min="8711" max="8711" width="9.5546875" style="26" bestFit="1" customWidth="1"/>
    <col min="8712" max="8712" width="10.6640625" style="26" customWidth="1"/>
    <col min="8713" max="8966" width="9.109375" style="26"/>
    <col min="8967" max="8967" width="9.5546875" style="26" bestFit="1" customWidth="1"/>
    <col min="8968" max="8968" width="10.6640625" style="26" customWidth="1"/>
    <col min="8969" max="9222" width="9.109375" style="26"/>
    <col min="9223" max="9223" width="9.5546875" style="26" bestFit="1" customWidth="1"/>
    <col min="9224" max="9224" width="10.6640625" style="26" customWidth="1"/>
    <col min="9225" max="9478" width="9.109375" style="26"/>
    <col min="9479" max="9479" width="9.5546875" style="26" bestFit="1" customWidth="1"/>
    <col min="9480" max="9480" width="10.6640625" style="26" customWidth="1"/>
    <col min="9481" max="9734" width="9.109375" style="26"/>
    <col min="9735" max="9735" width="9.5546875" style="26" bestFit="1" customWidth="1"/>
    <col min="9736" max="9736" width="10.6640625" style="26" customWidth="1"/>
    <col min="9737" max="9990" width="9.109375" style="26"/>
    <col min="9991" max="9991" width="9.5546875" style="26" bestFit="1" customWidth="1"/>
    <col min="9992" max="9992" width="10.6640625" style="26" customWidth="1"/>
    <col min="9993" max="10246" width="9.109375" style="26"/>
    <col min="10247" max="10247" width="9.5546875" style="26" bestFit="1" customWidth="1"/>
    <col min="10248" max="10248" width="10.6640625" style="26" customWidth="1"/>
    <col min="10249" max="10502" width="9.109375" style="26"/>
    <col min="10503" max="10503" width="9.5546875" style="26" bestFit="1" customWidth="1"/>
    <col min="10504" max="10504" width="10.6640625" style="26" customWidth="1"/>
    <col min="10505" max="10758" width="9.109375" style="26"/>
    <col min="10759" max="10759" width="9.5546875" style="26" bestFit="1" customWidth="1"/>
    <col min="10760" max="10760" width="10.6640625" style="26" customWidth="1"/>
    <col min="10761" max="11014" width="9.109375" style="26"/>
    <col min="11015" max="11015" width="9.5546875" style="26" bestFit="1" customWidth="1"/>
    <col min="11016" max="11016" width="10.6640625" style="26" customWidth="1"/>
    <col min="11017" max="11270" width="9.109375" style="26"/>
    <col min="11271" max="11271" width="9.5546875" style="26" bestFit="1" customWidth="1"/>
    <col min="11272" max="11272" width="10.6640625" style="26" customWidth="1"/>
    <col min="11273" max="11526" width="9.109375" style="26"/>
    <col min="11527" max="11527" width="9.5546875" style="26" bestFit="1" customWidth="1"/>
    <col min="11528" max="11528" width="10.6640625" style="26" customWidth="1"/>
    <col min="11529" max="11782" width="9.109375" style="26"/>
    <col min="11783" max="11783" width="9.5546875" style="26" bestFit="1" customWidth="1"/>
    <col min="11784" max="11784" width="10.6640625" style="26" customWidth="1"/>
    <col min="11785" max="12038" width="9.109375" style="26"/>
    <col min="12039" max="12039" width="9.5546875" style="26" bestFit="1" customWidth="1"/>
    <col min="12040" max="12040" width="10.6640625" style="26" customWidth="1"/>
    <col min="12041" max="12294" width="9.109375" style="26"/>
    <col min="12295" max="12295" width="9.5546875" style="26" bestFit="1" customWidth="1"/>
    <col min="12296" max="12296" width="10.6640625" style="26" customWidth="1"/>
    <col min="12297" max="12550" width="9.109375" style="26"/>
    <col min="12551" max="12551" width="9.5546875" style="26" bestFit="1" customWidth="1"/>
    <col min="12552" max="12552" width="10.6640625" style="26" customWidth="1"/>
    <col min="12553" max="12806" width="9.109375" style="26"/>
    <col min="12807" max="12807" width="9.5546875" style="26" bestFit="1" customWidth="1"/>
    <col min="12808" max="12808" width="10.6640625" style="26" customWidth="1"/>
    <col min="12809" max="13062" width="9.109375" style="26"/>
    <col min="13063" max="13063" width="9.5546875" style="26" bestFit="1" customWidth="1"/>
    <col min="13064" max="13064" width="10.6640625" style="26" customWidth="1"/>
    <col min="13065" max="13318" width="9.109375" style="26"/>
    <col min="13319" max="13319" width="9.5546875" style="26" bestFit="1" customWidth="1"/>
    <col min="13320" max="13320" width="10.6640625" style="26" customWidth="1"/>
    <col min="13321" max="13574" width="9.109375" style="26"/>
    <col min="13575" max="13575" width="9.5546875" style="26" bestFit="1" customWidth="1"/>
    <col min="13576" max="13576" width="10.6640625" style="26" customWidth="1"/>
    <col min="13577" max="13830" width="9.109375" style="26"/>
    <col min="13831" max="13831" width="9.5546875" style="26" bestFit="1" customWidth="1"/>
    <col min="13832" max="13832" width="10.6640625" style="26" customWidth="1"/>
    <col min="13833" max="14086" width="9.109375" style="26"/>
    <col min="14087" max="14087" width="9.5546875" style="26" bestFit="1" customWidth="1"/>
    <col min="14088" max="14088" width="10.6640625" style="26" customWidth="1"/>
    <col min="14089" max="14342" width="9.109375" style="26"/>
    <col min="14343" max="14343" width="9.5546875" style="26" bestFit="1" customWidth="1"/>
    <col min="14344" max="14344" width="10.6640625" style="26" customWidth="1"/>
    <col min="14345" max="14598" width="9.109375" style="26"/>
    <col min="14599" max="14599" width="9.5546875" style="26" bestFit="1" customWidth="1"/>
    <col min="14600" max="14600" width="10.6640625" style="26" customWidth="1"/>
    <col min="14601" max="14854" width="9.109375" style="26"/>
    <col min="14855" max="14855" width="9.5546875" style="26" bestFit="1" customWidth="1"/>
    <col min="14856" max="14856" width="10.6640625" style="26" customWidth="1"/>
    <col min="14857" max="15110" width="9.109375" style="26"/>
    <col min="15111" max="15111" width="9.5546875" style="26" bestFit="1" customWidth="1"/>
    <col min="15112" max="15112" width="10.6640625" style="26" customWidth="1"/>
    <col min="15113" max="15366" width="9.109375" style="26"/>
    <col min="15367" max="15367" width="9.5546875" style="26" bestFit="1" customWidth="1"/>
    <col min="15368" max="15368" width="10.6640625" style="26" customWidth="1"/>
    <col min="15369" max="15622" width="9.109375" style="26"/>
    <col min="15623" max="15623" width="9.5546875" style="26" bestFit="1" customWidth="1"/>
    <col min="15624" max="15624" width="10.6640625" style="26" customWidth="1"/>
    <col min="15625" max="15878" width="9.109375" style="26"/>
    <col min="15879" max="15879" width="9.5546875" style="26" bestFit="1" customWidth="1"/>
    <col min="15880" max="15880" width="10.6640625" style="26" customWidth="1"/>
    <col min="15881" max="16134" width="9.109375" style="26"/>
    <col min="16135" max="16135" width="9.5546875" style="26" bestFit="1" customWidth="1"/>
    <col min="16136" max="16136" width="10.6640625" style="26" customWidth="1"/>
    <col min="16137" max="16384" width="9.109375" style="26"/>
  </cols>
  <sheetData>
    <row r="1" spans="1:15" ht="13.8" thickBot="1" x14ac:dyDescent="0.3">
      <c r="A1" s="84" t="s">
        <v>275</v>
      </c>
      <c r="B1" s="275" t="s">
        <v>402</v>
      </c>
      <c r="C1" s="33">
        <f>Drives!BA12</f>
        <v>38490.017945975058</v>
      </c>
      <c r="D1" s="28" t="s">
        <v>7</v>
      </c>
      <c r="E1" s="300">
        <v>10</v>
      </c>
      <c r="F1" s="301">
        <f>MAX(0.1,E1+100/C1)</f>
        <v>10.002598076211353</v>
      </c>
      <c r="G1" s="36" t="s">
        <v>1</v>
      </c>
      <c r="H1" s="29">
        <f>IF(J1=0,0,H4/J1)</f>
        <v>0</v>
      </c>
      <c r="I1" s="54" t="s">
        <v>94</v>
      </c>
      <c r="J1" s="34">
        <f>Drives!Z12</f>
        <v>0</v>
      </c>
      <c r="K1" s="26" t="s">
        <v>84</v>
      </c>
      <c r="N1" s="254">
        <v>0.95499999999999996</v>
      </c>
      <c r="O1" s="26" t="s">
        <v>176</v>
      </c>
    </row>
    <row r="2" spans="1:15" x14ac:dyDescent="0.25">
      <c r="A2" s="272" t="s">
        <v>88</v>
      </c>
      <c r="B2" s="276">
        <v>12</v>
      </c>
      <c r="D2" s="26">
        <f>C4+1</f>
        <v>11</v>
      </c>
      <c r="E2" s="27">
        <f>F1-C3</f>
        <v>2.5980762113526623E-3</v>
      </c>
      <c r="J2" s="29">
        <f>IF(J1&gt;=0.6, 0.7+(J1-0.6)*0.75, IF(J1&gt;=0.2, 0.3+(J1-0.2)*1, J1*1.5))</f>
        <v>0</v>
      </c>
      <c r="K2" s="26" t="s">
        <v>60</v>
      </c>
    </row>
    <row r="3" spans="1:15" ht="13.8" thickBot="1" x14ac:dyDescent="0.3">
      <c r="A3" s="43" t="s">
        <v>89</v>
      </c>
      <c r="C3" s="41">
        <f>HLOOKUP($F$1,$D$62:$U$113,(B3+1))</f>
        <v>10</v>
      </c>
      <c r="D3" s="41">
        <f>HLOOKUP($D$2,$D$61:$U$113,(B3+2))</f>
        <v>12</v>
      </c>
      <c r="E3" s="26">
        <f>D3-C3</f>
        <v>2</v>
      </c>
      <c r="F3" s="26">
        <f>IF(E3=0,1,E2/E3)</f>
        <v>1.2990381056763312E-3</v>
      </c>
      <c r="G3" s="27">
        <f>C3+(E3*F3)</f>
        <v>10.002598076211353</v>
      </c>
      <c r="J3" s="31"/>
    </row>
    <row r="4" spans="1:15" ht="13.8" thickBot="1" x14ac:dyDescent="0.3">
      <c r="A4" s="43" t="s">
        <v>90</v>
      </c>
      <c r="B4" s="26">
        <v>1</v>
      </c>
      <c r="C4" s="36">
        <f t="shared" ref="C4:C53" si="0">HLOOKUP($F$1,$D$62:$U$113,(B4+1))</f>
        <v>10</v>
      </c>
      <c r="D4" s="36">
        <f t="shared" ref="D4:D53" si="1">HLOOKUP($D$2,$D$61:$U$113,(B4+2))</f>
        <v>11</v>
      </c>
      <c r="G4" s="27">
        <v>100</v>
      </c>
      <c r="H4" s="34">
        <f>Drives!AR12</f>
        <v>0</v>
      </c>
      <c r="I4" s="26" t="s">
        <v>53</v>
      </c>
    </row>
    <row r="5" spans="1:15" x14ac:dyDescent="0.25">
      <c r="A5" s="31"/>
      <c r="B5" s="26">
        <v>2</v>
      </c>
      <c r="C5" s="52">
        <f t="shared" si="0"/>
        <v>2.636287592484499E-2</v>
      </c>
      <c r="D5" s="52">
        <f t="shared" si="1"/>
        <v>3.9068771982494086E-3</v>
      </c>
      <c r="E5" s="48">
        <f t="shared" ref="E5:E53" si="2">D5-C5</f>
        <v>-2.245599872659558E-2</v>
      </c>
      <c r="F5" s="48">
        <f t="shared" ref="F5:F53" si="3">E5*$F$3</f>
        <v>-2.9171198046866828E-5</v>
      </c>
      <c r="G5" s="48">
        <f t="shared" ref="G5:G53" si="4">C5+F5</f>
        <v>2.6333704726798121E-2</v>
      </c>
      <c r="H5" s="30">
        <f>J$2*G5*$H$1/100</f>
        <v>0</v>
      </c>
    </row>
    <row r="6" spans="1:15" x14ac:dyDescent="0.25">
      <c r="A6" s="270" t="s">
        <v>408</v>
      </c>
      <c r="B6" s="26">
        <v>3</v>
      </c>
      <c r="C6" s="52">
        <f t="shared" si="0"/>
        <v>1.976424393859703</v>
      </c>
      <c r="D6" s="52">
        <f t="shared" si="1"/>
        <v>1.512989131711088</v>
      </c>
      <c r="E6" s="48">
        <f t="shared" si="2"/>
        <v>-0.46343526214861508</v>
      </c>
      <c r="F6" s="48">
        <f t="shared" si="3"/>
        <v>-6.0202006504515089E-4</v>
      </c>
      <c r="G6" s="48">
        <f t="shared" si="4"/>
        <v>1.9758223737946579</v>
      </c>
      <c r="H6" s="30">
        <f t="shared" ref="H6:H53" si="5">J$2*G6*$H$1/100</f>
        <v>0</v>
      </c>
    </row>
    <row r="7" spans="1:15" x14ac:dyDescent="0.25">
      <c r="A7" s="270" t="s">
        <v>92</v>
      </c>
      <c r="B7" s="26">
        <v>4</v>
      </c>
      <c r="C7" s="52">
        <f t="shared" si="0"/>
        <v>3.4977738354405041E-3</v>
      </c>
      <c r="D7" s="52">
        <f t="shared" si="1"/>
        <v>3.318391374383355E-3</v>
      </c>
      <c r="E7" s="48">
        <f t="shared" si="2"/>
        <v>-1.7938246105714912E-4</v>
      </c>
      <c r="F7" s="48">
        <f t="shared" si="3"/>
        <v>-2.3302465240323725E-7</v>
      </c>
      <c r="G7" s="48">
        <f t="shared" si="4"/>
        <v>3.4975408107881011E-3</v>
      </c>
      <c r="H7" s="30">
        <f t="shared" si="5"/>
        <v>0</v>
      </c>
    </row>
    <row r="8" spans="1:15" x14ac:dyDescent="0.25">
      <c r="A8" s="50"/>
      <c r="B8" s="26">
        <v>5</v>
      </c>
      <c r="C8" s="52">
        <f t="shared" si="0"/>
        <v>26.829447444032468</v>
      </c>
      <c r="D8" s="52">
        <f t="shared" si="1"/>
        <v>24.524377947577921</v>
      </c>
      <c r="E8" s="48">
        <f t="shared" si="2"/>
        <v>-2.3050694964545464</v>
      </c>
      <c r="F8" s="48">
        <f t="shared" si="3"/>
        <v>-2.9943731121266086E-3</v>
      </c>
      <c r="G8" s="48">
        <f t="shared" si="4"/>
        <v>26.826453070920341</v>
      </c>
      <c r="H8" s="30">
        <f t="shared" si="5"/>
        <v>0</v>
      </c>
    </row>
    <row r="9" spans="1:15" x14ac:dyDescent="0.25">
      <c r="A9" s="50"/>
      <c r="B9" s="26">
        <v>6</v>
      </c>
      <c r="C9" s="52">
        <f t="shared" si="0"/>
        <v>4.9368015428742544E-3</v>
      </c>
      <c r="D9" s="52">
        <f t="shared" si="1"/>
        <v>2.1005572354824645E-3</v>
      </c>
      <c r="E9" s="48">
        <f t="shared" si="2"/>
        <v>-2.8362443073917899E-3</v>
      </c>
      <c r="F9" s="48">
        <f t="shared" si="3"/>
        <v>-3.6843894323095088E-6</v>
      </c>
      <c r="G9" s="48">
        <f t="shared" si="4"/>
        <v>4.9331171534419448E-3</v>
      </c>
      <c r="H9" s="30">
        <f t="shared" si="5"/>
        <v>0</v>
      </c>
    </row>
    <row r="10" spans="1:15" x14ac:dyDescent="0.25">
      <c r="B10" s="26">
        <v>7</v>
      </c>
      <c r="C10" s="52">
        <f t="shared" si="0"/>
        <v>6.5166708279323533</v>
      </c>
      <c r="D10" s="52">
        <f t="shared" si="1"/>
        <v>6.6273860488121423</v>
      </c>
      <c r="E10" s="48">
        <f t="shared" si="2"/>
        <v>0.11071522087978902</v>
      </c>
      <c r="F10" s="48">
        <f t="shared" si="3"/>
        <v>1.4382329080121772E-4</v>
      </c>
      <c r="G10" s="48">
        <f t="shared" si="4"/>
        <v>6.5168146512231546</v>
      </c>
      <c r="H10" s="30">
        <f t="shared" si="5"/>
        <v>0</v>
      </c>
    </row>
    <row r="11" spans="1:15" x14ac:dyDescent="0.25">
      <c r="B11" s="26">
        <v>8</v>
      </c>
      <c r="C11" s="52">
        <f t="shared" si="0"/>
        <v>2.5415807506222721E-3</v>
      </c>
      <c r="D11" s="52">
        <f t="shared" si="1"/>
        <v>1.2216655309818655E-3</v>
      </c>
      <c r="E11" s="48">
        <f t="shared" si="2"/>
        <v>-1.3199152196404066E-3</v>
      </c>
      <c r="F11" s="48">
        <f t="shared" si="3"/>
        <v>-1.7146201665750324E-6</v>
      </c>
      <c r="G11" s="48">
        <f t="shared" si="4"/>
        <v>2.539866130455697E-3</v>
      </c>
      <c r="H11" s="30">
        <f t="shared" si="5"/>
        <v>0</v>
      </c>
    </row>
    <row r="12" spans="1:15" x14ac:dyDescent="0.25">
      <c r="B12" s="26">
        <v>9</v>
      </c>
      <c r="C12" s="52">
        <f t="shared" si="0"/>
        <v>0.31868142208094846</v>
      </c>
      <c r="D12" s="52">
        <f t="shared" si="1"/>
        <v>0.22626624756676589</v>
      </c>
      <c r="E12" s="48">
        <f t="shared" si="2"/>
        <v>-9.2415174514182574E-2</v>
      </c>
      <c r="F12" s="48">
        <f t="shared" si="3"/>
        <v>-1.2005083323665128E-4</v>
      </c>
      <c r="G12" s="48">
        <f t="shared" si="4"/>
        <v>0.31856137124771183</v>
      </c>
      <c r="H12" s="30">
        <f t="shared" si="5"/>
        <v>0</v>
      </c>
      <c r="J12" s="278"/>
      <c r="K12" s="279"/>
    </row>
    <row r="13" spans="1:15" x14ac:dyDescent="0.25">
      <c r="B13" s="26">
        <v>10</v>
      </c>
      <c r="C13" s="52">
        <f t="shared" si="0"/>
        <v>5.9000829249238182E-3</v>
      </c>
      <c r="D13" s="52">
        <f t="shared" si="1"/>
        <v>2.8410236973985879E-3</v>
      </c>
      <c r="E13" s="48">
        <f t="shared" si="2"/>
        <v>-3.0590592275252303E-3</v>
      </c>
      <c r="F13" s="48">
        <f t="shared" si="3"/>
        <v>-3.973834504076076E-6</v>
      </c>
      <c r="G13" s="48">
        <f t="shared" si="4"/>
        <v>5.8961090904197421E-3</v>
      </c>
      <c r="H13" s="30">
        <f t="shared" si="5"/>
        <v>0</v>
      </c>
    </row>
    <row r="14" spans="1:15" x14ac:dyDescent="0.25">
      <c r="B14" s="26">
        <v>11</v>
      </c>
      <c r="C14" s="52">
        <f t="shared" si="0"/>
        <v>4.7731220793376856</v>
      </c>
      <c r="D14" s="52">
        <f t="shared" si="1"/>
        <v>4.037747204995374</v>
      </c>
      <c r="E14" s="48">
        <f t="shared" si="2"/>
        <v>-0.73537487434231164</v>
      </c>
      <c r="F14" s="48">
        <f t="shared" si="3"/>
        <v>-9.552799837276066E-4</v>
      </c>
      <c r="G14" s="48">
        <f t="shared" si="4"/>
        <v>4.7721667993539576</v>
      </c>
      <c r="H14" s="30">
        <f t="shared" si="5"/>
        <v>0</v>
      </c>
    </row>
    <row r="15" spans="1:15" x14ac:dyDescent="0.25">
      <c r="B15" s="26">
        <v>12</v>
      </c>
      <c r="C15" s="52">
        <f t="shared" si="0"/>
        <v>3.3387817150023614E-3</v>
      </c>
      <c r="D15" s="52">
        <f t="shared" si="1"/>
        <v>7.0415228820549169E-4</v>
      </c>
      <c r="E15" s="48">
        <f t="shared" si="2"/>
        <v>-2.6346294267968699E-3</v>
      </c>
      <c r="F15" s="48">
        <f t="shared" si="3"/>
        <v>-3.4224840197453242E-6</v>
      </c>
      <c r="G15" s="48">
        <f t="shared" si="4"/>
        <v>3.3353592309826163E-3</v>
      </c>
      <c r="H15" s="30">
        <f t="shared" si="5"/>
        <v>0</v>
      </c>
    </row>
    <row r="16" spans="1:15" x14ac:dyDescent="0.25">
      <c r="B16" s="26">
        <v>13</v>
      </c>
      <c r="C16" s="52">
        <f t="shared" si="0"/>
        <v>2.9413990501469054</v>
      </c>
      <c r="D16" s="52">
        <f t="shared" si="1"/>
        <v>2.6891381919916104</v>
      </c>
      <c r="E16" s="48">
        <f t="shared" si="2"/>
        <v>-0.25226085815529498</v>
      </c>
      <c r="F16" s="48">
        <f t="shared" si="3"/>
        <v>-3.2769646731434004E-4</v>
      </c>
      <c r="G16" s="48">
        <f t="shared" si="4"/>
        <v>2.9410713536795909</v>
      </c>
      <c r="H16" s="30">
        <f t="shared" si="5"/>
        <v>0</v>
      </c>
    </row>
    <row r="17" spans="2:8" x14ac:dyDescent="0.25">
      <c r="B17" s="26">
        <v>14</v>
      </c>
      <c r="C17" s="52">
        <f t="shared" si="0"/>
        <v>6.0541163970223889E-3</v>
      </c>
      <c r="D17" s="52">
        <f t="shared" si="1"/>
        <v>8.8566143641728831E-4</v>
      </c>
      <c r="E17" s="48">
        <f t="shared" si="2"/>
        <v>-5.1684549606051009E-3</v>
      </c>
      <c r="F17" s="48">
        <f t="shared" si="3"/>
        <v>-6.7140199412978869E-6</v>
      </c>
      <c r="G17" s="48">
        <f t="shared" si="4"/>
        <v>6.0474023770810906E-3</v>
      </c>
      <c r="H17" s="30">
        <f t="shared" si="5"/>
        <v>0</v>
      </c>
    </row>
    <row r="18" spans="2:8" x14ac:dyDescent="0.25">
      <c r="B18" s="26">
        <v>15</v>
      </c>
      <c r="C18" s="52">
        <f t="shared" si="0"/>
        <v>0.17863761703347875</v>
      </c>
      <c r="D18" s="52">
        <f t="shared" si="1"/>
        <v>0.15238590146764369</v>
      </c>
      <c r="E18" s="48">
        <f t="shared" si="2"/>
        <v>-2.6251715565835054E-2</v>
      </c>
      <c r="F18" s="48">
        <f t="shared" si="3"/>
        <v>-3.4101978859396226E-5</v>
      </c>
      <c r="G18" s="48">
        <f t="shared" si="4"/>
        <v>0.17860351505461936</v>
      </c>
      <c r="H18" s="30">
        <f t="shared" si="5"/>
        <v>0</v>
      </c>
    </row>
    <row r="19" spans="2:8" x14ac:dyDescent="0.25">
      <c r="B19" s="26">
        <v>16</v>
      </c>
      <c r="C19" s="52">
        <f t="shared" si="0"/>
        <v>1.5412362332936629E-3</v>
      </c>
      <c r="D19" s="52">
        <f t="shared" si="1"/>
        <v>1.7707278526791228E-3</v>
      </c>
      <c r="E19" s="48">
        <f t="shared" si="2"/>
        <v>2.2949161938545987E-4</v>
      </c>
      <c r="F19" s="48">
        <f t="shared" si="3"/>
        <v>2.9811835851508137E-7</v>
      </c>
      <c r="G19" s="48">
        <f t="shared" si="4"/>
        <v>1.5415343516521781E-3</v>
      </c>
      <c r="H19" s="30">
        <f t="shared" si="5"/>
        <v>0</v>
      </c>
    </row>
    <row r="20" spans="2:8" x14ac:dyDescent="0.25">
      <c r="B20" s="26">
        <v>17</v>
      </c>
      <c r="C20" s="52">
        <f t="shared" si="0"/>
        <v>1.5324828885585096</v>
      </c>
      <c r="D20" s="52">
        <f t="shared" si="1"/>
        <v>1.4251739565426205</v>
      </c>
      <c r="E20" s="48">
        <f t="shared" si="2"/>
        <v>-0.10730893201588909</v>
      </c>
      <c r="F20" s="48">
        <f t="shared" si="3"/>
        <v>-1.3939839176807078E-4</v>
      </c>
      <c r="G20" s="48">
        <f t="shared" si="4"/>
        <v>1.5323434901667414</v>
      </c>
      <c r="H20" s="30">
        <f t="shared" si="5"/>
        <v>0</v>
      </c>
    </row>
    <row r="21" spans="2:8" x14ac:dyDescent="0.25">
      <c r="B21" s="26">
        <v>18</v>
      </c>
      <c r="C21" s="52">
        <f t="shared" si="0"/>
        <v>2.3022193218101682E-3</v>
      </c>
      <c r="D21" s="52">
        <f t="shared" si="1"/>
        <v>7.1766985210155283E-4</v>
      </c>
      <c r="E21" s="48">
        <f t="shared" si="2"/>
        <v>-1.5845494697086155E-3</v>
      </c>
      <c r="F21" s="48">
        <f t="shared" si="3"/>
        <v>-2.0583901414807151E-6</v>
      </c>
      <c r="G21" s="48">
        <f t="shared" si="4"/>
        <v>2.3001609316686874E-3</v>
      </c>
      <c r="H21" s="30">
        <f t="shared" si="5"/>
        <v>0</v>
      </c>
    </row>
    <row r="22" spans="2:8" x14ac:dyDescent="0.25">
      <c r="B22" s="26">
        <v>19</v>
      </c>
      <c r="C22" s="52">
        <f t="shared" si="0"/>
        <v>1.1978760529333901</v>
      </c>
      <c r="D22" s="52">
        <f t="shared" si="1"/>
        <v>0.96493434637770215</v>
      </c>
      <c r="E22" s="48">
        <f t="shared" si="2"/>
        <v>-0.23294170655568791</v>
      </c>
      <c r="F22" s="48">
        <f t="shared" si="3"/>
        <v>-3.0260015321711265E-4</v>
      </c>
      <c r="G22" s="48">
        <f t="shared" si="4"/>
        <v>1.1975734527801729</v>
      </c>
      <c r="H22" s="30">
        <f t="shared" si="5"/>
        <v>0</v>
      </c>
    </row>
    <row r="23" spans="2:8" x14ac:dyDescent="0.25">
      <c r="B23" s="26">
        <v>20</v>
      </c>
      <c r="C23" s="52">
        <f t="shared" si="0"/>
        <v>4.289924599988241E-3</v>
      </c>
      <c r="D23" s="52">
        <f t="shared" si="1"/>
        <v>2.3631359410929234E-3</v>
      </c>
      <c r="E23" s="48">
        <f t="shared" si="2"/>
        <v>-1.9267886588953177E-3</v>
      </c>
      <c r="F23" s="48">
        <f t="shared" si="3"/>
        <v>-2.5029718894900119E-6</v>
      </c>
      <c r="G23" s="48">
        <f t="shared" si="4"/>
        <v>4.2874216280987514E-3</v>
      </c>
      <c r="H23" s="30">
        <f t="shared" si="5"/>
        <v>0</v>
      </c>
    </row>
    <row r="24" spans="2:8" x14ac:dyDescent="0.25">
      <c r="B24" s="26">
        <v>21</v>
      </c>
      <c r="C24" s="52">
        <f t="shared" si="0"/>
        <v>0.14886071320433725</v>
      </c>
      <c r="D24" s="52">
        <f t="shared" si="1"/>
        <v>0.11057082122039739</v>
      </c>
      <c r="E24" s="48">
        <f t="shared" si="2"/>
        <v>-3.8289891983939853E-2</v>
      </c>
      <c r="F24" s="48">
        <f t="shared" si="3"/>
        <v>-4.9740028749368562E-5</v>
      </c>
      <c r="G24" s="48">
        <f t="shared" si="4"/>
        <v>0.14881097317558789</v>
      </c>
      <c r="H24" s="30">
        <f t="shared" si="5"/>
        <v>0</v>
      </c>
    </row>
    <row r="25" spans="2:8" x14ac:dyDescent="0.25">
      <c r="B25" s="26">
        <v>22</v>
      </c>
      <c r="C25" s="52">
        <f t="shared" si="0"/>
        <v>1.7693174251628295E-3</v>
      </c>
      <c r="D25" s="52">
        <f t="shared" si="1"/>
        <v>2.3683965026528521E-3</v>
      </c>
      <c r="E25" s="48">
        <f t="shared" si="2"/>
        <v>5.9907907749002262E-4</v>
      </c>
      <c r="F25" s="48">
        <f t="shared" si="3"/>
        <v>7.7822654997296301E-7</v>
      </c>
      <c r="G25" s="48">
        <f t="shared" si="4"/>
        <v>1.7700956517128024E-3</v>
      </c>
      <c r="H25" s="30">
        <f t="shared" si="5"/>
        <v>0</v>
      </c>
    </row>
    <row r="26" spans="2:8" x14ac:dyDescent="0.25">
      <c r="B26" s="26">
        <v>23</v>
      </c>
      <c r="C26" s="52">
        <f t="shared" si="0"/>
        <v>0.97151910927620677</v>
      </c>
      <c r="D26" s="52">
        <f t="shared" si="1"/>
        <v>0.91499109629030073</v>
      </c>
      <c r="E26" s="48">
        <f t="shared" si="2"/>
        <v>-5.652801298590604E-2</v>
      </c>
      <c r="F26" s="48">
        <f t="shared" si="3"/>
        <v>-7.3432042906858429E-5</v>
      </c>
      <c r="G26" s="48">
        <f t="shared" si="4"/>
        <v>0.97144567723329989</v>
      </c>
      <c r="H26" s="30">
        <f t="shared" si="5"/>
        <v>0</v>
      </c>
    </row>
    <row r="27" spans="2:8" x14ac:dyDescent="0.25">
      <c r="B27" s="26">
        <v>24</v>
      </c>
      <c r="C27" s="52">
        <f t="shared" si="0"/>
        <v>1.6642059470906843E-3</v>
      </c>
      <c r="D27" s="52">
        <f t="shared" si="1"/>
        <v>5.0465814106315395E-4</v>
      </c>
      <c r="E27" s="48">
        <f t="shared" si="2"/>
        <v>-1.1595478060275302E-3</v>
      </c>
      <c r="F27" s="48">
        <f t="shared" si="3"/>
        <v>-1.5062967853831488E-6</v>
      </c>
      <c r="G27" s="48">
        <f t="shared" si="4"/>
        <v>1.662699650305301E-3</v>
      </c>
      <c r="H27" s="30">
        <f t="shared" si="5"/>
        <v>0</v>
      </c>
    </row>
    <row r="28" spans="2:8" x14ac:dyDescent="0.25">
      <c r="B28" s="26">
        <v>25</v>
      </c>
      <c r="C28" s="52">
        <f t="shared" si="0"/>
        <v>0.60410783726699213</v>
      </c>
      <c r="D28" s="52">
        <f t="shared" si="1"/>
        <v>0.59625159344747769</v>
      </c>
      <c r="E28" s="48">
        <f t="shared" si="2"/>
        <v>-7.8562438195144413E-3</v>
      </c>
      <c r="F28" s="48">
        <f t="shared" si="3"/>
        <v>-1.0205560089033424E-5</v>
      </c>
      <c r="G28" s="48">
        <f t="shared" si="4"/>
        <v>0.60409763170690312</v>
      </c>
      <c r="H28" s="30">
        <f t="shared" si="5"/>
        <v>0</v>
      </c>
    </row>
    <row r="29" spans="2:8" x14ac:dyDescent="0.25">
      <c r="B29" s="26">
        <v>26</v>
      </c>
      <c r="C29" s="52">
        <f t="shared" si="0"/>
        <v>5.7283366829020497E-3</v>
      </c>
      <c r="D29" s="52">
        <f t="shared" si="1"/>
        <v>1.4156391535011382E-3</v>
      </c>
      <c r="E29" s="48">
        <f t="shared" si="2"/>
        <v>-4.312697529400911E-3</v>
      </c>
      <c r="F29" s="48">
        <f t="shared" si="3"/>
        <v>-5.602358428947953E-6</v>
      </c>
      <c r="G29" s="48">
        <f t="shared" si="4"/>
        <v>5.7227343244731013E-3</v>
      </c>
      <c r="H29" s="30">
        <f t="shared" si="5"/>
        <v>0</v>
      </c>
    </row>
    <row r="30" spans="2:8" x14ac:dyDescent="0.25">
      <c r="B30" s="26">
        <v>27</v>
      </c>
      <c r="C30" s="52">
        <f t="shared" si="0"/>
        <v>9.9377043514666238E-2</v>
      </c>
      <c r="D30" s="52">
        <f t="shared" si="1"/>
        <v>7.5391622206023953E-2</v>
      </c>
      <c r="E30" s="48">
        <f t="shared" si="2"/>
        <v>-2.3985421308642285E-2</v>
      </c>
      <c r="F30" s="48">
        <f t="shared" si="3"/>
        <v>-3.1157976260627379E-5</v>
      </c>
      <c r="G30" s="48">
        <f t="shared" si="4"/>
        <v>9.9345885538405607E-2</v>
      </c>
      <c r="H30" s="30">
        <f t="shared" si="5"/>
        <v>0</v>
      </c>
    </row>
    <row r="31" spans="2:8" x14ac:dyDescent="0.25">
      <c r="B31" s="26">
        <v>28</v>
      </c>
      <c r="C31" s="52">
        <f t="shared" si="0"/>
        <v>8.4429509332862738E-4</v>
      </c>
      <c r="D31" s="52">
        <f t="shared" si="1"/>
        <v>1.7536756837702497E-3</v>
      </c>
      <c r="E31" s="48">
        <f t="shared" si="2"/>
        <v>9.0938059044162235E-4</v>
      </c>
      <c r="F31" s="48">
        <f t="shared" si="3"/>
        <v>1.1813200395461086E-6</v>
      </c>
      <c r="G31" s="48">
        <f t="shared" si="4"/>
        <v>8.4547641336817352E-4</v>
      </c>
      <c r="H31" s="30">
        <f t="shared" si="5"/>
        <v>0</v>
      </c>
    </row>
    <row r="32" spans="2:8" x14ac:dyDescent="0.25">
      <c r="B32" s="26">
        <v>29</v>
      </c>
      <c r="C32" s="52">
        <f t="shared" si="0"/>
        <v>0.61840577400138186</v>
      </c>
      <c r="D32" s="52">
        <f t="shared" si="1"/>
        <v>0.50578743449988961</v>
      </c>
      <c r="E32" s="48">
        <f t="shared" si="2"/>
        <v>-0.11261833950149225</v>
      </c>
      <c r="F32" s="48">
        <f t="shared" si="3"/>
        <v>-1.4629551441043242E-4</v>
      </c>
      <c r="G32" s="48">
        <f t="shared" si="4"/>
        <v>0.61825947848697138</v>
      </c>
      <c r="H32" s="30">
        <f t="shared" si="5"/>
        <v>0</v>
      </c>
    </row>
    <row r="33" spans="2:8" x14ac:dyDescent="0.25">
      <c r="B33" s="26">
        <v>30</v>
      </c>
      <c r="C33" s="52">
        <f t="shared" si="0"/>
        <v>2.6821760992090326E-3</v>
      </c>
      <c r="D33" s="52">
        <f t="shared" si="1"/>
        <v>5.3985110846739104E-4</v>
      </c>
      <c r="E33" s="48">
        <f t="shared" si="2"/>
        <v>-2.1423249907416416E-3</v>
      </c>
      <c r="F33" s="48">
        <f t="shared" si="3"/>
        <v>-2.782961797716086E-6</v>
      </c>
      <c r="G33" s="48">
        <f t="shared" si="4"/>
        <v>2.6793931374113167E-3</v>
      </c>
      <c r="H33" s="30">
        <f t="shared" si="5"/>
        <v>0</v>
      </c>
    </row>
    <row r="34" spans="2:8" x14ac:dyDescent="0.25">
      <c r="B34" s="26">
        <v>31</v>
      </c>
      <c r="C34" s="52">
        <f t="shared" si="0"/>
        <v>0.43268010175951643</v>
      </c>
      <c r="D34" s="52">
        <f t="shared" si="1"/>
        <v>0.37617527613812002</v>
      </c>
      <c r="E34" s="48">
        <f t="shared" si="2"/>
        <v>-5.6504825621396415E-2</v>
      </c>
      <c r="F34" s="48">
        <f t="shared" si="3"/>
        <v>-7.3401921636790225E-5</v>
      </c>
      <c r="G34" s="48">
        <f t="shared" si="4"/>
        <v>0.43260669983787964</v>
      </c>
      <c r="H34" s="30">
        <f t="shared" si="5"/>
        <v>0</v>
      </c>
    </row>
    <row r="35" spans="2:8" x14ac:dyDescent="0.25">
      <c r="B35" s="26">
        <v>32</v>
      </c>
      <c r="C35" s="52">
        <f t="shared" si="0"/>
        <v>4.587462629749072E-3</v>
      </c>
      <c r="D35" s="52">
        <f t="shared" si="1"/>
        <v>1.2699646308248702E-3</v>
      </c>
      <c r="E35" s="48">
        <f t="shared" si="2"/>
        <v>-3.317497998924202E-3</v>
      </c>
      <c r="F35" s="48">
        <f t="shared" si="3"/>
        <v>-4.3095563161075145E-6</v>
      </c>
      <c r="G35" s="48">
        <f t="shared" si="4"/>
        <v>4.5831530734329641E-3</v>
      </c>
      <c r="H35" s="30">
        <f t="shared" si="5"/>
        <v>0</v>
      </c>
    </row>
    <row r="36" spans="2:8" x14ac:dyDescent="0.25">
      <c r="B36" s="26">
        <v>33</v>
      </c>
      <c r="C36" s="52">
        <f t="shared" si="0"/>
        <v>8.4151409301761251E-2</v>
      </c>
      <c r="D36" s="52">
        <f t="shared" si="1"/>
        <v>6.7503639523961864E-2</v>
      </c>
      <c r="E36" s="48">
        <f t="shared" si="2"/>
        <v>-1.6647769777799387E-2</v>
      </c>
      <c r="F36" s="48">
        <f t="shared" si="3"/>
        <v>-2.1626087315888192E-5</v>
      </c>
      <c r="G36" s="48">
        <f t="shared" si="4"/>
        <v>8.4129783214445364E-2</v>
      </c>
      <c r="H36" s="30">
        <f t="shared" si="5"/>
        <v>0</v>
      </c>
    </row>
    <row r="37" spans="2:8" x14ac:dyDescent="0.25">
      <c r="B37" s="26">
        <v>34</v>
      </c>
      <c r="C37" s="52">
        <f t="shared" si="0"/>
        <v>5.8256465500538285E-2</v>
      </c>
      <c r="D37" s="52">
        <f t="shared" si="1"/>
        <v>4.4253058727944716E-2</v>
      </c>
      <c r="E37" s="48">
        <f t="shared" si="2"/>
        <v>-1.4003406772593568E-2</v>
      </c>
      <c r="F37" s="48">
        <f t="shared" si="3"/>
        <v>-1.8190959006885057E-5</v>
      </c>
      <c r="G37" s="48">
        <f t="shared" si="4"/>
        <v>5.8238274541531403E-2</v>
      </c>
      <c r="H37" s="30">
        <f t="shared" si="5"/>
        <v>0</v>
      </c>
    </row>
    <row r="38" spans="2:8" x14ac:dyDescent="0.25">
      <c r="B38" s="26">
        <v>35</v>
      </c>
      <c r="C38" s="52">
        <f t="shared" si="0"/>
        <v>0.39029335703643686</v>
      </c>
      <c r="D38" s="52">
        <f t="shared" si="1"/>
        <v>0.36343466624775511</v>
      </c>
      <c r="E38" s="48">
        <f t="shared" si="2"/>
        <v>-2.6858690788681749E-2</v>
      </c>
      <c r="F38" s="48">
        <f t="shared" si="3"/>
        <v>-3.4890462803075464E-5</v>
      </c>
      <c r="G38" s="48">
        <f t="shared" si="4"/>
        <v>0.39025846657363378</v>
      </c>
      <c r="H38" s="30">
        <f t="shared" si="5"/>
        <v>0</v>
      </c>
    </row>
    <row r="39" spans="2:8" x14ac:dyDescent="0.25">
      <c r="B39" s="26">
        <v>36</v>
      </c>
      <c r="C39" s="52">
        <f t="shared" si="0"/>
        <v>5.8256465500538285E-2</v>
      </c>
      <c r="D39" s="52">
        <f t="shared" si="1"/>
        <v>4.4253058727944716E-2</v>
      </c>
      <c r="E39" s="48">
        <f t="shared" si="2"/>
        <v>-1.4003406772593568E-2</v>
      </c>
      <c r="F39" s="48">
        <f t="shared" si="3"/>
        <v>-1.8190959006885057E-5</v>
      </c>
      <c r="G39" s="48">
        <f t="shared" si="4"/>
        <v>5.8238274541531403E-2</v>
      </c>
      <c r="H39" s="30">
        <f t="shared" si="5"/>
        <v>0</v>
      </c>
    </row>
    <row r="40" spans="2:8" x14ac:dyDescent="0.25">
      <c r="B40" s="26">
        <v>37</v>
      </c>
      <c r="C40" s="52">
        <f t="shared" si="0"/>
        <v>0.26038899134139826</v>
      </c>
      <c r="D40" s="52">
        <f t="shared" si="1"/>
        <v>0.23293659142238254</v>
      </c>
      <c r="E40" s="48">
        <f t="shared" si="2"/>
        <v>-2.7452399919015713E-2</v>
      </c>
      <c r="F40" s="48">
        <f t="shared" si="3"/>
        <v>-3.566171358706724E-5</v>
      </c>
      <c r="G40" s="48">
        <f t="shared" si="4"/>
        <v>0.26035332962781121</v>
      </c>
      <c r="H40" s="30">
        <f t="shared" si="5"/>
        <v>0</v>
      </c>
    </row>
    <row r="41" spans="2:8" x14ac:dyDescent="0.25">
      <c r="B41" s="26">
        <v>38</v>
      </c>
      <c r="C41" s="52">
        <f t="shared" si="0"/>
        <v>5.8256465500538285E-2</v>
      </c>
      <c r="D41" s="52">
        <f t="shared" si="1"/>
        <v>4.4253058727944716E-2</v>
      </c>
      <c r="E41" s="48">
        <f t="shared" si="2"/>
        <v>-1.4003406772593568E-2</v>
      </c>
      <c r="F41" s="48">
        <f t="shared" si="3"/>
        <v>-1.8190959006885057E-5</v>
      </c>
      <c r="G41" s="48">
        <f t="shared" si="4"/>
        <v>5.8238274541531403E-2</v>
      </c>
      <c r="H41" s="30">
        <f t="shared" si="5"/>
        <v>0</v>
      </c>
    </row>
    <row r="42" spans="2:8" x14ac:dyDescent="0.25">
      <c r="B42" s="26">
        <v>39</v>
      </c>
      <c r="C42" s="52">
        <f t="shared" si="0"/>
        <v>7.1958024598108364E-2</v>
      </c>
      <c r="D42" s="52">
        <f t="shared" si="1"/>
        <v>5.1366620792552581E-2</v>
      </c>
      <c r="E42" s="48">
        <f t="shared" si="2"/>
        <v>-2.0591403805555783E-2</v>
      </c>
      <c r="F42" s="48">
        <f t="shared" si="3"/>
        <v>-2.674901819278558E-5</v>
      </c>
      <c r="G42" s="48">
        <f t="shared" si="4"/>
        <v>7.1931275579915577E-2</v>
      </c>
      <c r="H42" s="30">
        <f t="shared" si="5"/>
        <v>0</v>
      </c>
    </row>
    <row r="43" spans="2:8" x14ac:dyDescent="0.25">
      <c r="B43" s="26">
        <v>40</v>
      </c>
      <c r="C43" s="52">
        <f t="shared" si="0"/>
        <v>5.8256465500538285E-2</v>
      </c>
      <c r="D43" s="52">
        <f t="shared" si="1"/>
        <v>4.4253058727944716E-2</v>
      </c>
      <c r="E43" s="48">
        <f t="shared" si="2"/>
        <v>-1.4003406772593568E-2</v>
      </c>
      <c r="F43" s="48">
        <f t="shared" si="3"/>
        <v>-1.8190959006885057E-5</v>
      </c>
      <c r="G43" s="48">
        <f t="shared" si="4"/>
        <v>5.8238274541531403E-2</v>
      </c>
      <c r="H43" s="30">
        <f t="shared" si="5"/>
        <v>0</v>
      </c>
    </row>
    <row r="44" spans="2:8" x14ac:dyDescent="0.25">
      <c r="B44" s="26">
        <v>41</v>
      </c>
      <c r="C44" s="52">
        <f t="shared" si="0"/>
        <v>0.30529874652047795</v>
      </c>
      <c r="D44" s="52">
        <f t="shared" si="1"/>
        <v>0.272856325769609</v>
      </c>
      <c r="E44" s="48">
        <f t="shared" si="2"/>
        <v>-3.244242075086895E-2</v>
      </c>
      <c r="F44" s="48">
        <f t="shared" si="3"/>
        <v>-4.2143940795763301E-5</v>
      </c>
      <c r="G44" s="48">
        <f t="shared" si="4"/>
        <v>0.30525660257968218</v>
      </c>
      <c r="H44" s="30">
        <f t="shared" si="5"/>
        <v>0</v>
      </c>
    </row>
    <row r="45" spans="2:8" x14ac:dyDescent="0.25">
      <c r="B45" s="26">
        <v>42</v>
      </c>
      <c r="C45" s="52">
        <f t="shared" si="0"/>
        <v>5.8256465500538285E-2</v>
      </c>
      <c r="D45" s="52">
        <f t="shared" si="1"/>
        <v>4.4253058727944716E-2</v>
      </c>
      <c r="E45" s="48">
        <f t="shared" si="2"/>
        <v>-1.4003406772593568E-2</v>
      </c>
      <c r="F45" s="48">
        <f t="shared" si="3"/>
        <v>-1.8190959006885057E-5</v>
      </c>
      <c r="G45" s="48">
        <f t="shared" si="4"/>
        <v>5.8238274541531403E-2</v>
      </c>
      <c r="H45" s="30">
        <f t="shared" si="5"/>
        <v>0</v>
      </c>
    </row>
    <row r="46" spans="2:8" x14ac:dyDescent="0.25">
      <c r="B46" s="26">
        <v>43</v>
      </c>
      <c r="C46" s="52">
        <f t="shared" si="0"/>
        <v>0.1877023014843526</v>
      </c>
      <c r="D46" s="52">
        <f t="shared" si="1"/>
        <v>0.18024721970812474</v>
      </c>
      <c r="E46" s="48">
        <f t="shared" si="2"/>
        <v>-7.4550817762278621E-3</v>
      </c>
      <c r="F46" s="48">
        <f t="shared" si="3"/>
        <v>-9.6844353082531796E-6</v>
      </c>
      <c r="G46" s="48">
        <f t="shared" si="4"/>
        <v>0.18769261704904436</v>
      </c>
      <c r="H46" s="30">
        <f t="shared" si="5"/>
        <v>0</v>
      </c>
    </row>
    <row r="47" spans="2:8" x14ac:dyDescent="0.25">
      <c r="B47" s="26">
        <v>44</v>
      </c>
      <c r="C47" s="52">
        <f t="shared" si="0"/>
        <v>5.8256465500538285E-2</v>
      </c>
      <c r="D47" s="52">
        <f t="shared" si="1"/>
        <v>4.4253058727944716E-2</v>
      </c>
      <c r="E47" s="48">
        <f t="shared" si="2"/>
        <v>-1.4003406772593568E-2</v>
      </c>
      <c r="F47" s="48">
        <f t="shared" si="3"/>
        <v>-1.8190959006885057E-5</v>
      </c>
      <c r="G47" s="48">
        <f t="shared" si="4"/>
        <v>5.8238274541531403E-2</v>
      </c>
      <c r="H47" s="30">
        <f t="shared" si="5"/>
        <v>0</v>
      </c>
    </row>
    <row r="48" spans="2:8" x14ac:dyDescent="0.25">
      <c r="B48" s="26">
        <v>45</v>
      </c>
      <c r="C48" s="52">
        <f t="shared" si="0"/>
        <v>5.8261619608528936E-2</v>
      </c>
      <c r="D48" s="52">
        <f t="shared" si="1"/>
        <v>4.4254803859095013E-2</v>
      </c>
      <c r="E48" s="48">
        <f t="shared" si="2"/>
        <v>-1.4006815749433923E-2</v>
      </c>
      <c r="F48" s="48">
        <f t="shared" si="3"/>
        <v>-1.8195387397702043E-5</v>
      </c>
      <c r="G48" s="48">
        <f t="shared" si="4"/>
        <v>5.8243424221131233E-2</v>
      </c>
      <c r="H48" s="30">
        <f t="shared" si="5"/>
        <v>0</v>
      </c>
    </row>
    <row r="49" spans="1:21" x14ac:dyDescent="0.25">
      <c r="B49" s="26">
        <v>46</v>
      </c>
      <c r="C49" s="52">
        <f t="shared" si="0"/>
        <v>5.8256465500538285E-2</v>
      </c>
      <c r="D49" s="52">
        <f t="shared" si="1"/>
        <v>4.4253058727944716E-2</v>
      </c>
      <c r="E49" s="48">
        <f t="shared" si="2"/>
        <v>-1.4003406772593568E-2</v>
      </c>
      <c r="F49" s="48">
        <f t="shared" si="3"/>
        <v>-1.8190959006885057E-5</v>
      </c>
      <c r="G49" s="48">
        <f t="shared" si="4"/>
        <v>5.8238274541531403E-2</v>
      </c>
      <c r="H49" s="30">
        <f t="shared" si="5"/>
        <v>0</v>
      </c>
    </row>
    <row r="50" spans="1:21" x14ac:dyDescent="0.25">
      <c r="B50" s="26">
        <v>47</v>
      </c>
      <c r="C50" s="52">
        <f t="shared" si="0"/>
        <v>0.2367936036530196</v>
      </c>
      <c r="D50" s="52">
        <f t="shared" si="1"/>
        <v>0.19038468562778788</v>
      </c>
      <c r="E50" s="48">
        <f t="shared" si="2"/>
        <v>-4.6408918025231727E-2</v>
      </c>
      <c r="F50" s="48">
        <f t="shared" si="3"/>
        <v>-6.0286952957985159E-5</v>
      </c>
      <c r="G50" s="48">
        <f t="shared" si="4"/>
        <v>0.23673331670006162</v>
      </c>
      <c r="H50" s="30">
        <f t="shared" si="5"/>
        <v>0</v>
      </c>
    </row>
    <row r="51" spans="1:21" x14ac:dyDescent="0.25">
      <c r="B51" s="26">
        <v>48</v>
      </c>
      <c r="C51" s="52">
        <f t="shared" si="0"/>
        <v>5.8256465500538285E-2</v>
      </c>
      <c r="D51" s="52">
        <f t="shared" si="1"/>
        <v>4.4253058727944716E-2</v>
      </c>
      <c r="E51" s="48">
        <f t="shared" si="2"/>
        <v>-1.4003406772593568E-2</v>
      </c>
      <c r="F51" s="48">
        <f t="shared" si="3"/>
        <v>-1.8190959006885057E-5</v>
      </c>
      <c r="G51" s="48">
        <f t="shared" si="4"/>
        <v>5.8238274541531403E-2</v>
      </c>
      <c r="H51" s="30">
        <f t="shared" si="5"/>
        <v>0</v>
      </c>
    </row>
    <row r="52" spans="1:21" x14ac:dyDescent="0.25">
      <c r="B52" s="26">
        <v>49</v>
      </c>
      <c r="C52" s="52">
        <f t="shared" si="0"/>
        <v>0.14316623416465049</v>
      </c>
      <c r="D52" s="52">
        <f t="shared" si="1"/>
        <v>0.11820986355275069</v>
      </c>
      <c r="E52" s="48">
        <f t="shared" si="2"/>
        <v>-2.49563706118998E-2</v>
      </c>
      <c r="F52" s="48">
        <f t="shared" si="3"/>
        <v>-3.241927640423878E-5</v>
      </c>
      <c r="G52" s="48">
        <f t="shared" si="4"/>
        <v>0.14313381488824625</v>
      </c>
      <c r="H52" s="30">
        <f t="shared" si="5"/>
        <v>0</v>
      </c>
    </row>
    <row r="53" spans="1:21" x14ac:dyDescent="0.25">
      <c r="B53" s="26">
        <v>50</v>
      </c>
      <c r="C53" s="52">
        <f t="shared" si="0"/>
        <v>5.8256465500538285E-2</v>
      </c>
      <c r="D53" s="52">
        <f t="shared" si="1"/>
        <v>4.4253058727944716E-2</v>
      </c>
      <c r="E53" s="48">
        <f t="shared" si="2"/>
        <v>-1.4003406772593568E-2</v>
      </c>
      <c r="F53" s="48">
        <f t="shared" si="3"/>
        <v>-1.8190959006885057E-5</v>
      </c>
      <c r="G53" s="48">
        <f t="shared" si="4"/>
        <v>5.8238274541531403E-2</v>
      </c>
      <c r="H53" s="30">
        <f t="shared" si="5"/>
        <v>0</v>
      </c>
    </row>
    <row r="54" spans="1:21" x14ac:dyDescent="0.25">
      <c r="E54" s="32"/>
      <c r="F54" s="32"/>
    </row>
    <row r="55" spans="1:21" x14ac:dyDescent="0.25">
      <c r="F55" s="26" t="s">
        <v>85</v>
      </c>
      <c r="G55" s="29">
        <f>IF(H4=0,0,100*H55/H4)</f>
        <v>0</v>
      </c>
      <c r="H55" s="29">
        <f>SQRT(SUMSQ(H5:H53))</f>
        <v>0</v>
      </c>
      <c r="I55" s="26" t="s">
        <v>52</v>
      </c>
    </row>
    <row r="56" spans="1:21" x14ac:dyDescent="0.25">
      <c r="F56" s="26" t="s">
        <v>86</v>
      </c>
      <c r="G56" s="29">
        <f>SQRT(SUMSQ(G4:G53))</f>
        <v>103.94110160818423</v>
      </c>
      <c r="H56" s="29">
        <f>SQRT(SUMSQ(H4:H53))</f>
        <v>0</v>
      </c>
      <c r="I56" s="26" t="s">
        <v>54</v>
      </c>
    </row>
    <row r="57" spans="1:21" x14ac:dyDescent="0.25">
      <c r="G57" s="26" t="s">
        <v>87</v>
      </c>
      <c r="H57" s="26" t="s">
        <v>13</v>
      </c>
    </row>
    <row r="59" spans="1:21" x14ac:dyDescent="0.25">
      <c r="A59" s="25" t="s">
        <v>63</v>
      </c>
      <c r="C59" s="36"/>
      <c r="D59" s="36"/>
      <c r="E59" s="36"/>
      <c r="F59" s="36"/>
      <c r="G59" s="36"/>
      <c r="H59" s="36"/>
      <c r="I59" s="36"/>
      <c r="J59" s="36"/>
      <c r="K59" s="36"/>
      <c r="L59" s="36"/>
      <c r="M59" s="36"/>
      <c r="N59" s="36"/>
      <c r="O59" s="36"/>
      <c r="P59" s="36"/>
      <c r="Q59" s="36"/>
      <c r="R59" s="36"/>
      <c r="S59" s="36"/>
    </row>
    <row r="60" spans="1:21" ht="14.4" x14ac:dyDescent="0.3">
      <c r="C60" s="1" t="s">
        <v>478</v>
      </c>
      <c r="D60" s="7">
        <f>100/D62</f>
        <v>1000</v>
      </c>
      <c r="E60" s="7">
        <f t="shared" ref="E60:U60" si="6">100/E62</f>
        <v>200</v>
      </c>
      <c r="F60" s="7">
        <f t="shared" si="6"/>
        <v>100</v>
      </c>
      <c r="G60" s="7">
        <f t="shared" si="6"/>
        <v>50</v>
      </c>
      <c r="H60" s="7">
        <f t="shared" si="6"/>
        <v>33.333333333333336</v>
      </c>
      <c r="I60" s="7">
        <f t="shared" si="6"/>
        <v>25</v>
      </c>
      <c r="J60" s="7">
        <f t="shared" si="6"/>
        <v>20</v>
      </c>
      <c r="K60" s="7">
        <f t="shared" si="6"/>
        <v>16.666666666666668</v>
      </c>
      <c r="L60" s="7">
        <f t="shared" si="6"/>
        <v>14.285714285714286</v>
      </c>
      <c r="M60" s="7">
        <f t="shared" si="6"/>
        <v>12.5</v>
      </c>
      <c r="N60" s="7">
        <f t="shared" si="6"/>
        <v>10</v>
      </c>
      <c r="O60" s="7">
        <f t="shared" si="6"/>
        <v>8.3333333333333339</v>
      </c>
      <c r="P60" s="7">
        <f t="shared" si="6"/>
        <v>7.1428571428571432</v>
      </c>
      <c r="Q60" s="7">
        <f t="shared" si="6"/>
        <v>5.5555555555555554</v>
      </c>
      <c r="R60" s="7">
        <f t="shared" si="6"/>
        <v>4.7619047619047619</v>
      </c>
      <c r="S60" s="7">
        <f t="shared" si="6"/>
        <v>1</v>
      </c>
      <c r="T60" s="7">
        <f t="shared" si="6"/>
        <v>0.1</v>
      </c>
      <c r="U60" s="7">
        <f t="shared" si="6"/>
        <v>0.01</v>
      </c>
    </row>
    <row r="61" spans="1:21" ht="14.4" x14ac:dyDescent="0.3">
      <c r="C61" s="1" t="s">
        <v>64</v>
      </c>
      <c r="D61">
        <v>0</v>
      </c>
      <c r="E61">
        <v>1</v>
      </c>
      <c r="F61">
        <v>2</v>
      </c>
      <c r="G61">
        <v>3</v>
      </c>
      <c r="H61">
        <v>4</v>
      </c>
      <c r="I61">
        <v>5</v>
      </c>
      <c r="J61">
        <v>6</v>
      </c>
      <c r="K61">
        <v>7</v>
      </c>
      <c r="L61">
        <v>8</v>
      </c>
      <c r="M61">
        <v>9</v>
      </c>
      <c r="N61">
        <v>10</v>
      </c>
      <c r="O61">
        <v>11</v>
      </c>
      <c r="P61">
        <v>12</v>
      </c>
      <c r="Q61">
        <v>13</v>
      </c>
      <c r="R61">
        <v>14</v>
      </c>
      <c r="S61">
        <v>15</v>
      </c>
      <c r="T61">
        <v>16</v>
      </c>
      <c r="U61">
        <v>17</v>
      </c>
    </row>
    <row r="62" spans="1:21" ht="14.4" x14ac:dyDescent="0.3">
      <c r="A62" s="26" t="s">
        <v>65</v>
      </c>
      <c r="B62" s="54"/>
      <c r="C62" s="216" t="s">
        <v>1</v>
      </c>
      <c r="D62" s="296">
        <v>0.1</v>
      </c>
      <c r="E62" s="296">
        <v>0.5</v>
      </c>
      <c r="F62" s="296">
        <v>1</v>
      </c>
      <c r="G62" s="296">
        <v>2</v>
      </c>
      <c r="H62" s="296">
        <v>3</v>
      </c>
      <c r="I62" s="296">
        <v>4</v>
      </c>
      <c r="J62" s="296">
        <v>5</v>
      </c>
      <c r="K62" s="296">
        <v>6</v>
      </c>
      <c r="L62" s="296">
        <v>7</v>
      </c>
      <c r="M62" s="296">
        <v>8</v>
      </c>
      <c r="N62" s="296">
        <v>10</v>
      </c>
      <c r="O62" s="296">
        <v>12</v>
      </c>
      <c r="P62" s="296">
        <v>14</v>
      </c>
      <c r="Q62" s="296">
        <v>18</v>
      </c>
      <c r="R62" s="296">
        <v>21</v>
      </c>
      <c r="S62" s="296">
        <v>100</v>
      </c>
      <c r="T62" s="296">
        <v>1000</v>
      </c>
      <c r="U62" s="296">
        <v>10000</v>
      </c>
    </row>
    <row r="63" spans="1:21" ht="14.4" x14ac:dyDescent="0.3">
      <c r="A63" s="31"/>
      <c r="C63" s="1" t="s">
        <v>64</v>
      </c>
      <c r="D63">
        <v>0</v>
      </c>
      <c r="E63">
        <v>1</v>
      </c>
      <c r="F63">
        <v>2</v>
      </c>
      <c r="G63">
        <v>3</v>
      </c>
      <c r="H63">
        <v>4</v>
      </c>
      <c r="I63">
        <v>5</v>
      </c>
      <c r="J63">
        <v>6</v>
      </c>
      <c r="K63">
        <v>7</v>
      </c>
      <c r="L63">
        <v>8</v>
      </c>
      <c r="M63">
        <v>9</v>
      </c>
      <c r="N63">
        <v>10</v>
      </c>
      <c r="O63">
        <v>11</v>
      </c>
      <c r="P63">
        <v>12</v>
      </c>
      <c r="Q63">
        <v>13</v>
      </c>
      <c r="R63">
        <v>14</v>
      </c>
      <c r="S63">
        <v>15</v>
      </c>
      <c r="T63">
        <v>16</v>
      </c>
      <c r="U63">
        <v>17</v>
      </c>
    </row>
    <row r="64" spans="1:21" ht="14.4" x14ac:dyDescent="0.3">
      <c r="A64" s="43">
        <v>2</v>
      </c>
      <c r="B64" s="43"/>
      <c r="C64" s="1"/>
      <c r="D64" s="298">
        <v>1.7291324964220301E-2</v>
      </c>
      <c r="E64" s="298">
        <v>6.6998018440489568E-2</v>
      </c>
      <c r="F64" s="298">
        <v>0.12416560747379798</v>
      </c>
      <c r="G64" s="298">
        <v>0.19164678959143519</v>
      </c>
      <c r="H64" s="298">
        <v>3.2432337711389723E-2</v>
      </c>
      <c r="I64" s="298">
        <v>2.6794917304969575E-2</v>
      </c>
      <c r="J64" s="298">
        <v>1.0787351058726545E-2</v>
      </c>
      <c r="K64" s="298">
        <v>1.5488830696511377E-2</v>
      </c>
      <c r="L64" s="298">
        <v>1.1120918013740941E-2</v>
      </c>
      <c r="M64" s="298">
        <v>1.2571907703050382E-2</v>
      </c>
      <c r="N64" s="298">
        <v>2.636287592484499E-2</v>
      </c>
      <c r="O64" s="298">
        <v>3.9068771982494086E-3</v>
      </c>
      <c r="P64" s="298">
        <v>1.783236037225493E-2</v>
      </c>
      <c r="Q64" s="298">
        <v>6.5715038062707058E-3</v>
      </c>
      <c r="R64" s="298">
        <v>5.7146036546192576E-3</v>
      </c>
      <c r="S64" s="298">
        <v>5.7146036546192576E-3</v>
      </c>
      <c r="T64" s="298">
        <v>5.7146036546192576E-3</v>
      </c>
      <c r="U64" s="298">
        <v>5.7146036546192576E-3</v>
      </c>
    </row>
    <row r="65" spans="1:21" ht="14.4" x14ac:dyDescent="0.3">
      <c r="A65" s="43">
        <v>3</v>
      </c>
      <c r="B65" s="43"/>
      <c r="C65" s="1"/>
      <c r="D65" s="298">
        <v>0.55385104430828935</v>
      </c>
      <c r="E65" s="298">
        <v>8.5473774716319078</v>
      </c>
      <c r="F65" s="298">
        <v>4.3857615521600959</v>
      </c>
      <c r="G65" s="298">
        <v>4.8916763402676038</v>
      </c>
      <c r="H65" s="298">
        <v>5.107248510230364</v>
      </c>
      <c r="I65" s="298">
        <v>6.2072885442798249</v>
      </c>
      <c r="J65" s="298">
        <v>7.7608557639223745</v>
      </c>
      <c r="K65" s="298">
        <v>5.1365577880102951</v>
      </c>
      <c r="L65" s="298">
        <v>3.7115343236794409</v>
      </c>
      <c r="M65" s="298">
        <v>2.8652501742303245</v>
      </c>
      <c r="N65" s="298">
        <v>1.976424393859703</v>
      </c>
      <c r="O65" s="298">
        <v>1.512989131711088</v>
      </c>
      <c r="P65" s="298">
        <v>1.2479844012146544</v>
      </c>
      <c r="Q65" s="298">
        <v>0.90186138282906037</v>
      </c>
      <c r="R65" s="298">
        <v>0.8611207071065603</v>
      </c>
      <c r="S65" s="298">
        <v>0.8611207071065603</v>
      </c>
      <c r="T65" s="298">
        <v>0.8611207071065603</v>
      </c>
      <c r="U65" s="298">
        <v>0.8611207071065603</v>
      </c>
    </row>
    <row r="66" spans="1:21" ht="14.4" x14ac:dyDescent="0.3">
      <c r="A66" s="43">
        <v>4</v>
      </c>
      <c r="B66" s="43"/>
      <c r="C66" s="1"/>
      <c r="D66" s="298">
        <v>0.13520250276733159</v>
      </c>
      <c r="E66" s="298">
        <v>2.8695360144102396E-2</v>
      </c>
      <c r="F66" s="298">
        <v>0.11237654569855723</v>
      </c>
      <c r="G66" s="298">
        <v>0.1270693443534559</v>
      </c>
      <c r="H66" s="298">
        <v>2.9673650735424224E-2</v>
      </c>
      <c r="I66" s="298">
        <v>2.1212221057019379E-2</v>
      </c>
      <c r="J66" s="298">
        <v>1.8916758051922035E-2</v>
      </c>
      <c r="K66" s="298">
        <v>2.4591818946340816E-2</v>
      </c>
      <c r="L66" s="298">
        <v>2.2309871990685983E-2</v>
      </c>
      <c r="M66" s="298">
        <v>1.4672119245636975E-2</v>
      </c>
      <c r="N66" s="298">
        <v>3.4977738354405041E-3</v>
      </c>
      <c r="O66" s="298">
        <v>3.318391374383355E-3</v>
      </c>
      <c r="P66" s="298">
        <v>1.8380050856337499E-2</v>
      </c>
      <c r="Q66" s="298">
        <v>5.7240454854559945E-3</v>
      </c>
      <c r="R66" s="298">
        <v>1.5847873572736098E-3</v>
      </c>
      <c r="S66" s="298">
        <v>1.5847873572736098E-3</v>
      </c>
      <c r="T66" s="298">
        <v>1.5847873572736098E-3</v>
      </c>
      <c r="U66" s="298">
        <v>1.5847873572736098E-3</v>
      </c>
    </row>
    <row r="67" spans="1:21" ht="14.4" x14ac:dyDescent="0.3">
      <c r="A67" s="43">
        <v>5</v>
      </c>
      <c r="B67" s="43"/>
      <c r="C67" s="1"/>
      <c r="D67" s="298">
        <v>93.368748010282204</v>
      </c>
      <c r="E67" s="298">
        <v>82.87682728374898</v>
      </c>
      <c r="F67" s="298">
        <v>73.247221838386295</v>
      </c>
      <c r="G67" s="298">
        <v>60.831459052554194</v>
      </c>
      <c r="H67" s="298">
        <v>49.382828970020235</v>
      </c>
      <c r="I67" s="298">
        <v>41.72752692184784</v>
      </c>
      <c r="J67" s="298">
        <v>37.27946499417164</v>
      </c>
      <c r="K67" s="298">
        <v>34.240442443062605</v>
      </c>
      <c r="L67" s="298">
        <v>31.801834469310585</v>
      </c>
      <c r="M67" s="298">
        <v>29.833911528390878</v>
      </c>
      <c r="N67" s="298">
        <v>26.829447444032468</v>
      </c>
      <c r="O67" s="298">
        <v>24.524377947577921</v>
      </c>
      <c r="P67" s="298">
        <v>22.666145948519805</v>
      </c>
      <c r="Q67" s="298">
        <v>19.683481307529799</v>
      </c>
      <c r="R67" s="298">
        <v>19.55420880107971</v>
      </c>
      <c r="S67" s="298">
        <v>19.55420880107971</v>
      </c>
      <c r="T67" s="298">
        <v>19.55420880107971</v>
      </c>
      <c r="U67" s="298">
        <v>19.55420880107971</v>
      </c>
    </row>
    <row r="68" spans="1:21" ht="14.4" x14ac:dyDescent="0.3">
      <c r="A68" s="43">
        <v>6</v>
      </c>
      <c r="B68" s="43"/>
      <c r="C68" s="1"/>
      <c r="D68" s="298">
        <v>6.8818496078623531E-2</v>
      </c>
      <c r="E68" s="298">
        <v>5.2936191485114158E-2</v>
      </c>
      <c r="F68" s="298">
        <v>7.0102641631974985E-3</v>
      </c>
      <c r="G68" s="298">
        <v>1.1862351899176933E-2</v>
      </c>
      <c r="H68" s="298">
        <v>1.9222702695116914E-3</v>
      </c>
      <c r="I68" s="298">
        <v>1.1087146410300954E-2</v>
      </c>
      <c r="J68" s="298">
        <v>6.7285132893848583E-3</v>
      </c>
      <c r="K68" s="298">
        <v>4.5194792975590103E-3</v>
      </c>
      <c r="L68" s="298">
        <v>6.0169639857389576E-3</v>
      </c>
      <c r="M68" s="298">
        <v>7.3330327729595772E-3</v>
      </c>
      <c r="N68" s="298">
        <v>4.9368015428742544E-3</v>
      </c>
      <c r="O68" s="298">
        <v>2.1005572354824645E-3</v>
      </c>
      <c r="P68" s="298">
        <v>9.2816222816082712E-3</v>
      </c>
      <c r="Q68" s="298">
        <v>3.8021989595571734E-3</v>
      </c>
      <c r="R68" s="298">
        <v>2.6949365909897677E-3</v>
      </c>
      <c r="S68" s="298">
        <v>2.6949365909897677E-3</v>
      </c>
      <c r="T68" s="298">
        <v>2.6949365909897677E-3</v>
      </c>
      <c r="U68" s="298">
        <v>2.6949365909897677E-3</v>
      </c>
    </row>
    <row r="69" spans="1:21" ht="14.4" x14ac:dyDescent="0.3">
      <c r="A69" s="43">
        <v>7</v>
      </c>
      <c r="B69" s="43"/>
      <c r="C69" s="1"/>
      <c r="D69" s="298">
        <v>85.792929223620419</v>
      </c>
      <c r="E69" s="298">
        <v>65.67536665068971</v>
      </c>
      <c r="F69" s="298">
        <v>52.471101352240538</v>
      </c>
      <c r="G69" s="298">
        <v>34.473926081721721</v>
      </c>
      <c r="H69" s="298">
        <v>20.70483242585701</v>
      </c>
      <c r="I69" s="298">
        <v>13.8859457017344</v>
      </c>
      <c r="J69" s="298">
        <v>10.407370469722119</v>
      </c>
      <c r="K69" s="298">
        <v>8.4234250472584673</v>
      </c>
      <c r="L69" s="298">
        <v>7.3447486655802345</v>
      </c>
      <c r="M69" s="298">
        <v>6.8022663683683335</v>
      </c>
      <c r="N69" s="298">
        <v>6.5166708279323533</v>
      </c>
      <c r="O69" s="298">
        <v>6.6273860488121423</v>
      </c>
      <c r="P69" s="298">
        <v>6.8022403042729351</v>
      </c>
      <c r="Q69" s="298">
        <v>6.987229811341364</v>
      </c>
      <c r="R69" s="298">
        <v>7.326010337515557</v>
      </c>
      <c r="S69" s="298">
        <v>7.326010337515557</v>
      </c>
      <c r="T69" s="298">
        <v>7.326010337515557</v>
      </c>
      <c r="U69" s="298">
        <v>7.326010337515557</v>
      </c>
    </row>
    <row r="70" spans="1:21" ht="14.4" x14ac:dyDescent="0.3">
      <c r="A70" s="43">
        <v>8</v>
      </c>
      <c r="B70" s="43"/>
      <c r="C70" s="1"/>
      <c r="D70" s="298">
        <v>0.15207091572872264</v>
      </c>
      <c r="E70" s="298">
        <v>5.2891824469196221E-2</v>
      </c>
      <c r="F70" s="298">
        <v>5.7040082585237739E-2</v>
      </c>
      <c r="G70" s="298">
        <v>1.9116049168177565E-2</v>
      </c>
      <c r="H70" s="298">
        <v>2.3564987660073828E-2</v>
      </c>
      <c r="I70" s="298">
        <v>8.5355102461392024E-3</v>
      </c>
      <c r="J70" s="298">
        <v>1.9603945043945102E-2</v>
      </c>
      <c r="K70" s="298">
        <v>1.2636657164619786E-2</v>
      </c>
      <c r="L70" s="298">
        <v>1.0643351525778579E-2</v>
      </c>
      <c r="M70" s="298">
        <v>4.3473848598230228E-3</v>
      </c>
      <c r="N70" s="298">
        <v>2.5415807506222721E-3</v>
      </c>
      <c r="O70" s="298">
        <v>1.2216655309818655E-3</v>
      </c>
      <c r="P70" s="298">
        <v>6.4595461603830819E-3</v>
      </c>
      <c r="Q70" s="298">
        <v>1.3983813924981661E-3</v>
      </c>
      <c r="R70" s="298">
        <v>3.4056178014729927E-3</v>
      </c>
      <c r="S70" s="298">
        <v>3.4056178014729927E-3</v>
      </c>
      <c r="T70" s="298">
        <v>3.4056178014729927E-3</v>
      </c>
      <c r="U70" s="298">
        <v>3.4056178014729927E-3</v>
      </c>
    </row>
    <row r="71" spans="1:21" ht="14.4" x14ac:dyDescent="0.3">
      <c r="A71" s="43">
        <v>9</v>
      </c>
      <c r="B71" s="43"/>
      <c r="C71" s="1"/>
      <c r="D71" s="298">
        <v>1.154353524821659</v>
      </c>
      <c r="E71" s="298">
        <v>3.5914593530271834</v>
      </c>
      <c r="F71" s="298">
        <v>0.66156600737101889</v>
      </c>
      <c r="G71" s="298">
        <v>0.60368769264829547</v>
      </c>
      <c r="H71" s="298">
        <v>0.42447764331950832</v>
      </c>
      <c r="I71" s="298">
        <v>1.0648962156533353</v>
      </c>
      <c r="J71" s="298">
        <v>1.5532650518305111</v>
      </c>
      <c r="K71" s="298">
        <v>0.98716445545758624</v>
      </c>
      <c r="L71" s="298">
        <v>0.68104076968532634</v>
      </c>
      <c r="M71" s="298">
        <v>0.50610374236669098</v>
      </c>
      <c r="N71" s="298">
        <v>0.31868142208094846</v>
      </c>
      <c r="O71" s="298">
        <v>0.22626624756676589</v>
      </c>
      <c r="P71" s="298">
        <v>0.1789795622711387</v>
      </c>
      <c r="Q71" s="298">
        <v>0.13966052871548112</v>
      </c>
      <c r="R71" s="298">
        <v>0.13247290047204982</v>
      </c>
      <c r="S71" s="298">
        <v>0.13247290047204982</v>
      </c>
      <c r="T71" s="298">
        <v>0.13247290047204982</v>
      </c>
      <c r="U71" s="298">
        <v>0.13247290047204982</v>
      </c>
    </row>
    <row r="72" spans="1:21" ht="14.4" x14ac:dyDescent="0.3">
      <c r="A72" s="43">
        <v>10</v>
      </c>
      <c r="B72" s="43"/>
      <c r="C72" s="1"/>
      <c r="D72" s="298">
        <v>0.2294007148283545</v>
      </c>
      <c r="E72" s="298">
        <v>4.67408371331944E-2</v>
      </c>
      <c r="F72" s="298">
        <v>3.9171017790739594E-2</v>
      </c>
      <c r="G72" s="298">
        <v>3.1896110289054799E-2</v>
      </c>
      <c r="H72" s="298">
        <v>9.7072760067846587E-3</v>
      </c>
      <c r="I72" s="298">
        <v>1.3760275349404955E-2</v>
      </c>
      <c r="J72" s="298">
        <v>1.2351163020258928E-2</v>
      </c>
      <c r="K72" s="298">
        <v>7.8770677291336265E-3</v>
      </c>
      <c r="L72" s="298">
        <v>6.6241460677741474E-3</v>
      </c>
      <c r="M72" s="298">
        <v>9.5446111698385379E-4</v>
      </c>
      <c r="N72" s="298">
        <v>5.9000829249238182E-3</v>
      </c>
      <c r="O72" s="298">
        <v>2.8410236973985879E-3</v>
      </c>
      <c r="P72" s="298">
        <v>3.0933034144878684E-3</v>
      </c>
      <c r="Q72" s="298">
        <v>1.7024651539385351E-3</v>
      </c>
      <c r="R72" s="298">
        <v>3.8405411483555876E-3</v>
      </c>
      <c r="S72" s="298">
        <v>3.8405411483555876E-3</v>
      </c>
      <c r="T72" s="298">
        <v>3.8405411483555876E-3</v>
      </c>
      <c r="U72" s="298">
        <v>3.8405411483555876E-3</v>
      </c>
    </row>
    <row r="73" spans="1:21" ht="14.4" x14ac:dyDescent="0.3">
      <c r="A73" s="43">
        <v>11</v>
      </c>
      <c r="B73" s="43"/>
      <c r="C73" s="1"/>
      <c r="D73" s="298">
        <v>69.048567707776243</v>
      </c>
      <c r="E73" s="298">
        <v>33.685348584817774</v>
      </c>
      <c r="F73" s="298">
        <v>15.583787301158949</v>
      </c>
      <c r="G73" s="298">
        <v>6.5636008603412694</v>
      </c>
      <c r="H73" s="298">
        <v>7.6797975872700235</v>
      </c>
      <c r="I73" s="298">
        <v>7.4570840283088478</v>
      </c>
      <c r="J73" s="298">
        <v>6.9055670232180777</v>
      </c>
      <c r="K73" s="298">
        <v>6.5341193000171698</v>
      </c>
      <c r="L73" s="298">
        <v>6.0786150094839924</v>
      </c>
      <c r="M73" s="298">
        <v>5.6151234987755405</v>
      </c>
      <c r="N73" s="298">
        <v>4.7731220793376856</v>
      </c>
      <c r="O73" s="298">
        <v>4.037747204995374</v>
      </c>
      <c r="P73" s="298">
        <v>3.4442053406397228</v>
      </c>
      <c r="Q73" s="298">
        <v>2.6571079286057731</v>
      </c>
      <c r="R73" s="298">
        <v>2.6319335627413896</v>
      </c>
      <c r="S73" s="298">
        <v>2.6319335627413896</v>
      </c>
      <c r="T73" s="298">
        <v>2.6319335627413896</v>
      </c>
      <c r="U73" s="298">
        <v>2.6319335627413896</v>
      </c>
    </row>
    <row r="74" spans="1:21" ht="14.4" x14ac:dyDescent="0.3">
      <c r="A74" s="43">
        <v>12</v>
      </c>
      <c r="B74" s="43"/>
      <c r="C74" s="1"/>
      <c r="D74" s="298">
        <v>4.3926126021925166E-2</v>
      </c>
      <c r="E74" s="298">
        <v>1.2877494467594758E-2</v>
      </c>
      <c r="F74" s="298">
        <v>4.5954157397374695E-3</v>
      </c>
      <c r="G74" s="298">
        <v>5.329225146697902E-3</v>
      </c>
      <c r="H74" s="298">
        <v>1.7455825337836627E-3</v>
      </c>
      <c r="I74" s="298">
        <v>6.1922252654432195E-3</v>
      </c>
      <c r="J74" s="298">
        <v>4.6340307760456886E-3</v>
      </c>
      <c r="K74" s="298">
        <v>1.2658928420938899E-3</v>
      </c>
      <c r="L74" s="298">
        <v>7.2345470714335765E-4</v>
      </c>
      <c r="M74" s="298">
        <v>2.8137542278655172E-3</v>
      </c>
      <c r="N74" s="298">
        <v>3.3387817150023614E-3</v>
      </c>
      <c r="O74" s="298">
        <v>7.0415228820549169E-4</v>
      </c>
      <c r="P74" s="298">
        <v>3.2866827675993235E-3</v>
      </c>
      <c r="Q74" s="298">
        <v>2.129932191298423E-3</v>
      </c>
      <c r="R74" s="298">
        <v>3.0726078205235829E-3</v>
      </c>
      <c r="S74" s="298">
        <v>3.0726078205235829E-3</v>
      </c>
      <c r="T74" s="298">
        <v>3.0726078205235829E-3</v>
      </c>
      <c r="U74" s="298">
        <v>3.0726078205235829E-3</v>
      </c>
    </row>
    <row r="75" spans="1:21" ht="14.4" x14ac:dyDescent="0.3">
      <c r="A75" s="43">
        <v>13</v>
      </c>
      <c r="B75" s="43"/>
      <c r="C75" s="1"/>
      <c r="D75" s="298">
        <v>57.626071680473594</v>
      </c>
      <c r="E75" s="298">
        <v>19.008833408591933</v>
      </c>
      <c r="F75" s="298">
        <v>6.0811074483745449</v>
      </c>
      <c r="G75" s="298">
        <v>6.4203508662030933</v>
      </c>
      <c r="H75" s="298">
        <v>4.053836065316168</v>
      </c>
      <c r="I75" s="298">
        <v>3.136813925533426</v>
      </c>
      <c r="J75" s="298">
        <v>3.2687886565984781</v>
      </c>
      <c r="K75" s="298">
        <v>3.1927019928471165</v>
      </c>
      <c r="L75" s="298">
        <v>3.1590323561450395</v>
      </c>
      <c r="M75" s="298">
        <v>3.1114405010378423</v>
      </c>
      <c r="N75" s="298">
        <v>2.9413990501469054</v>
      </c>
      <c r="O75" s="298">
        <v>2.6891381919916104</v>
      </c>
      <c r="P75" s="298">
        <v>2.4129113867682368</v>
      </c>
      <c r="Q75" s="298">
        <v>1.9019132140355048</v>
      </c>
      <c r="R75" s="298">
        <v>1.9731316672454773</v>
      </c>
      <c r="S75" s="298">
        <v>1.9731316672454773</v>
      </c>
      <c r="T75" s="298">
        <v>1.9731316672454773</v>
      </c>
      <c r="U75" s="298">
        <v>1.9731316672454773</v>
      </c>
    </row>
    <row r="76" spans="1:21" ht="14.4" x14ac:dyDescent="0.3">
      <c r="A76" s="43">
        <v>14</v>
      </c>
      <c r="B76" s="43"/>
      <c r="C76" s="1"/>
      <c r="D76" s="298">
        <v>0.20927403927484672</v>
      </c>
      <c r="E76" s="298">
        <v>5.5602611265487843E-2</v>
      </c>
      <c r="F76" s="298">
        <v>4.0150680983375708E-2</v>
      </c>
      <c r="G76" s="298">
        <v>1.1364022598705132E-2</v>
      </c>
      <c r="H76" s="298">
        <v>1.5808693433503308E-2</v>
      </c>
      <c r="I76" s="298">
        <v>1.1300571663228018E-2</v>
      </c>
      <c r="J76" s="298">
        <v>1.3986444352451872E-2</v>
      </c>
      <c r="K76" s="298">
        <v>1.3726550136797936E-2</v>
      </c>
      <c r="L76" s="298">
        <v>1.2922710779955417E-2</v>
      </c>
      <c r="M76" s="298">
        <v>6.7573395777536377E-3</v>
      </c>
      <c r="N76" s="298">
        <v>6.0541163970223889E-3</v>
      </c>
      <c r="O76" s="298">
        <v>8.8566143641728831E-4</v>
      </c>
      <c r="P76" s="298">
        <v>4.5856434142929501E-3</v>
      </c>
      <c r="Q76" s="298">
        <v>2.3769049086772155E-3</v>
      </c>
      <c r="R76" s="298">
        <v>2.1687917940923906E-3</v>
      </c>
      <c r="S76" s="298">
        <v>2.1687917940923906E-3</v>
      </c>
      <c r="T76" s="298">
        <v>2.1687917940923906E-3</v>
      </c>
      <c r="U76" s="298">
        <v>2.1687917940923906E-3</v>
      </c>
    </row>
    <row r="77" spans="1:21" ht="14.4" x14ac:dyDescent="0.3">
      <c r="A77" s="43">
        <v>15</v>
      </c>
      <c r="B77" s="43"/>
      <c r="C77" s="1"/>
      <c r="D77" s="298">
        <v>1.136851568371505</v>
      </c>
      <c r="E77" s="298">
        <v>0.23095610968918576</v>
      </c>
      <c r="F77" s="298">
        <v>0.45935010470309795</v>
      </c>
      <c r="G77" s="298">
        <v>0.33979479464125767</v>
      </c>
      <c r="H77" s="298">
        <v>0.19877874639876153</v>
      </c>
      <c r="I77" s="298">
        <v>0.6117370588990978</v>
      </c>
      <c r="J77" s="298">
        <v>0.7739736036483279</v>
      </c>
      <c r="K77" s="298">
        <v>0.47689818111624066</v>
      </c>
      <c r="L77" s="298">
        <v>0.32445444976062632</v>
      </c>
      <c r="M77" s="298">
        <v>0.24590737646040681</v>
      </c>
      <c r="N77" s="298">
        <v>0.17863761703347875</v>
      </c>
      <c r="O77" s="298">
        <v>0.15238590146764369</v>
      </c>
      <c r="P77" s="298">
        <v>0.13879587874692803</v>
      </c>
      <c r="Q77" s="298">
        <v>0.10849930149243135</v>
      </c>
      <c r="R77" s="298">
        <v>0.10438708261063094</v>
      </c>
      <c r="S77" s="298">
        <v>0.10438708261063094</v>
      </c>
      <c r="T77" s="298">
        <v>0.10438708261063094</v>
      </c>
      <c r="U77" s="298">
        <v>0.10438708261063094</v>
      </c>
    </row>
    <row r="78" spans="1:21" ht="14.4" x14ac:dyDescent="0.3">
      <c r="A78" s="43">
        <v>16</v>
      </c>
      <c r="B78" s="43"/>
      <c r="C78" s="1"/>
      <c r="D78" s="298">
        <v>0.21260480542905863</v>
      </c>
      <c r="E78" s="298">
        <v>5.5251059810874539E-2</v>
      </c>
      <c r="F78" s="298">
        <v>2.9549060045343564E-2</v>
      </c>
      <c r="G78" s="298">
        <v>1.9149260351853523E-2</v>
      </c>
      <c r="H78" s="298">
        <v>8.8894084206710914E-3</v>
      </c>
      <c r="I78" s="298">
        <v>9.8004503653837914E-3</v>
      </c>
      <c r="J78" s="298">
        <v>9.3355107602731344E-3</v>
      </c>
      <c r="K78" s="298">
        <v>1.1176506405604431E-2</v>
      </c>
      <c r="L78" s="298">
        <v>1.0797812516310075E-2</v>
      </c>
      <c r="M78" s="298">
        <v>4.9258459762198314E-3</v>
      </c>
      <c r="N78" s="298">
        <v>1.5412362332936629E-3</v>
      </c>
      <c r="O78" s="298">
        <v>1.7707278526791228E-3</v>
      </c>
      <c r="P78" s="298">
        <v>3.8905467511792919E-3</v>
      </c>
      <c r="Q78" s="298">
        <v>3.1270051788819786E-3</v>
      </c>
      <c r="R78" s="298">
        <v>2.7546885466757905E-3</v>
      </c>
      <c r="S78" s="298">
        <v>2.7546885466757905E-3</v>
      </c>
      <c r="T78" s="298">
        <v>2.7546885466757905E-3</v>
      </c>
      <c r="U78" s="298">
        <v>2.7546885466757905E-3</v>
      </c>
    </row>
    <row r="79" spans="1:21" ht="14.4" x14ac:dyDescent="0.3">
      <c r="A79" s="43">
        <v>17</v>
      </c>
      <c r="B79" s="43"/>
      <c r="C79" s="1"/>
      <c r="D79" s="299">
        <v>38.305868434141544</v>
      </c>
      <c r="E79" s="298">
        <v>5.2999903687276673</v>
      </c>
      <c r="F79" s="298">
        <v>6.2578007441416821</v>
      </c>
      <c r="G79" s="299">
        <v>3.651615692351549</v>
      </c>
      <c r="H79" s="299">
        <v>3.9361368606820331</v>
      </c>
      <c r="I79" s="299">
        <v>3.5365888642625669</v>
      </c>
      <c r="J79" s="298">
        <v>2.7954962272937816</v>
      </c>
      <c r="K79" s="298">
        <v>2.4617473384512585</v>
      </c>
      <c r="L79" s="298">
        <v>2.1281057585635259</v>
      </c>
      <c r="M79" s="298">
        <v>1.850567348179557</v>
      </c>
      <c r="N79" s="299">
        <v>1.5324828885585096</v>
      </c>
      <c r="O79" s="298">
        <v>1.4251739565426205</v>
      </c>
      <c r="P79" s="298">
        <v>1.4117622874341469</v>
      </c>
      <c r="Q79" s="298">
        <v>1.3485789449567889</v>
      </c>
      <c r="R79" s="298">
        <v>1.3516864824509252</v>
      </c>
      <c r="S79" s="298">
        <v>1.3516864824509252</v>
      </c>
      <c r="T79" s="298">
        <v>1.3516864824509252</v>
      </c>
      <c r="U79" s="298">
        <v>1.3516864824509252</v>
      </c>
    </row>
    <row r="80" spans="1:21" ht="14.4" x14ac:dyDescent="0.3">
      <c r="A80" s="43">
        <v>18</v>
      </c>
      <c r="B80" s="43"/>
      <c r="C80" s="1"/>
      <c r="D80" s="298">
        <v>6.8073317161051342E-3</v>
      </c>
      <c r="E80" s="298">
        <v>4.4855023970696963E-3</v>
      </c>
      <c r="F80" s="298">
        <v>3.7080452251308581E-3</v>
      </c>
      <c r="G80" s="298">
        <v>4.1891794258732719E-3</v>
      </c>
      <c r="H80" s="298">
        <v>2.5800652861531514E-3</v>
      </c>
      <c r="I80" s="298">
        <v>5.1323452366736095E-3</v>
      </c>
      <c r="J80" s="298">
        <v>3.2624660891922676E-3</v>
      </c>
      <c r="K80" s="298">
        <v>9.7248963017647263E-4</v>
      </c>
      <c r="L80" s="298">
        <v>5.3824967182370125E-4</v>
      </c>
      <c r="M80" s="298">
        <v>3.4207800467921257E-3</v>
      </c>
      <c r="N80" s="298">
        <v>2.3022193218101682E-3</v>
      </c>
      <c r="O80" s="298">
        <v>7.1766985210155283E-4</v>
      </c>
      <c r="P80" s="298">
        <v>1.6747979107749516E-3</v>
      </c>
      <c r="Q80" s="298">
        <v>1.0243399597807483E-3</v>
      </c>
      <c r="R80" s="298">
        <v>2.7645882744071495E-3</v>
      </c>
      <c r="S80" s="298">
        <v>2.7645882744071495E-3</v>
      </c>
      <c r="T80" s="298">
        <v>2.7645882744071495E-3</v>
      </c>
      <c r="U80" s="298">
        <v>2.7645882744071495E-3</v>
      </c>
    </row>
    <row r="81" spans="1:21" ht="14.4" x14ac:dyDescent="0.3">
      <c r="A81" s="43">
        <v>19</v>
      </c>
      <c r="B81" s="43"/>
      <c r="C81" s="1"/>
      <c r="D81" s="298">
        <v>28.12675018493254</v>
      </c>
      <c r="E81" s="298">
        <v>5.7694235730205383</v>
      </c>
      <c r="F81" s="298">
        <v>4.4923444139523241</v>
      </c>
      <c r="G81" s="298">
        <v>2.461818140179882</v>
      </c>
      <c r="H81" s="298">
        <v>1.5612033953483941</v>
      </c>
      <c r="I81" s="298">
        <v>1.435344927819425</v>
      </c>
      <c r="J81" s="298">
        <v>1.8152549557696753</v>
      </c>
      <c r="K81" s="298">
        <v>1.7533389509717254</v>
      </c>
      <c r="L81" s="298">
        <v>1.6441205577377018</v>
      </c>
      <c r="M81" s="298">
        <v>1.5015094716885002</v>
      </c>
      <c r="N81" s="298">
        <v>1.1978760529333901</v>
      </c>
      <c r="O81" s="298">
        <v>0.96493434637770215</v>
      </c>
      <c r="P81" s="298">
        <v>0.86230538911097832</v>
      </c>
      <c r="Q81" s="298">
        <v>0.87143134542122158</v>
      </c>
      <c r="R81" s="298">
        <v>0.89423887387252965</v>
      </c>
      <c r="S81" s="298">
        <v>0.89423887387252965</v>
      </c>
      <c r="T81" s="298">
        <v>0.89423887387252965</v>
      </c>
      <c r="U81" s="298">
        <v>0.89423887387252965</v>
      </c>
    </row>
    <row r="82" spans="1:21" ht="14.4" x14ac:dyDescent="0.3">
      <c r="A82" s="43">
        <v>20</v>
      </c>
      <c r="B82" s="43"/>
      <c r="C82" s="1"/>
      <c r="D82" s="298">
        <v>0.16228025606892954</v>
      </c>
      <c r="E82" s="298">
        <v>3.4304595434386999E-2</v>
      </c>
      <c r="F82" s="298">
        <v>3.603503131369204E-2</v>
      </c>
      <c r="G82" s="298">
        <v>1.3414457398225953E-2</v>
      </c>
      <c r="H82" s="298">
        <v>1.3820648138552563E-2</v>
      </c>
      <c r="I82" s="298">
        <v>1.2553645285502412E-2</v>
      </c>
      <c r="J82" s="298">
        <v>1.1519216055600136E-2</v>
      </c>
      <c r="K82" s="298">
        <v>1.2482583619361326E-2</v>
      </c>
      <c r="L82" s="298">
        <v>1.0659586926913772E-2</v>
      </c>
      <c r="M82" s="298">
        <v>3.9990621565117561E-3</v>
      </c>
      <c r="N82" s="298">
        <v>4.289924599988241E-3</v>
      </c>
      <c r="O82" s="298">
        <v>2.3631359410929234E-3</v>
      </c>
      <c r="P82" s="298">
        <v>2.0372139828744758E-3</v>
      </c>
      <c r="Q82" s="298">
        <v>2.6099379219788315E-3</v>
      </c>
      <c r="R82" s="298">
        <v>3.3164014470484933E-3</v>
      </c>
      <c r="S82" s="298">
        <v>3.3164014470484933E-3</v>
      </c>
      <c r="T82" s="298">
        <v>3.3164014470484933E-3</v>
      </c>
      <c r="U82" s="298">
        <v>3.3164014470484933E-3</v>
      </c>
    </row>
    <row r="83" spans="1:21" ht="14.4" x14ac:dyDescent="0.3">
      <c r="A83" s="43">
        <v>21</v>
      </c>
      <c r="B83" s="43"/>
      <c r="C83" s="1"/>
      <c r="D83" s="298">
        <v>0.62329316321319206</v>
      </c>
      <c r="E83" s="298">
        <v>0.38652912360520963</v>
      </c>
      <c r="F83" s="298">
        <v>0.28848587809075404</v>
      </c>
      <c r="G83" s="298">
        <v>0.2327624797312611</v>
      </c>
      <c r="H83" s="298">
        <v>0.12695962714013889</v>
      </c>
      <c r="I83" s="298">
        <v>0.43156831387325317</v>
      </c>
      <c r="J83" s="298">
        <v>0.51232861946084751</v>
      </c>
      <c r="K83" s="298">
        <v>0.33639919482821595</v>
      </c>
      <c r="L83" s="298">
        <v>0.24976274080004948</v>
      </c>
      <c r="M83" s="298">
        <v>0.20143664947276263</v>
      </c>
      <c r="N83" s="298">
        <v>0.14886071320433725</v>
      </c>
      <c r="O83" s="298">
        <v>0.11057082122039739</v>
      </c>
      <c r="P83" s="298">
        <v>8.69095877563483E-2</v>
      </c>
      <c r="Q83" s="298">
        <v>6.469840401868561E-2</v>
      </c>
      <c r="R83" s="298">
        <v>6.207334554446476E-2</v>
      </c>
      <c r="S83" s="298">
        <v>6.207334554446476E-2</v>
      </c>
      <c r="T83" s="298">
        <v>6.207334554446476E-2</v>
      </c>
      <c r="U83" s="298">
        <v>6.207334554446476E-2</v>
      </c>
    </row>
    <row r="84" spans="1:21" ht="14.4" x14ac:dyDescent="0.3">
      <c r="A84" s="43">
        <v>22</v>
      </c>
      <c r="B84" s="43"/>
      <c r="C84" s="1"/>
      <c r="D84" s="298">
        <v>0.10196628651957353</v>
      </c>
      <c r="E84" s="298">
        <v>3.8702088424270906E-2</v>
      </c>
      <c r="F84" s="298">
        <v>3.2940823141321553E-2</v>
      </c>
      <c r="G84" s="298">
        <v>1.4397088226243407E-2</v>
      </c>
      <c r="H84" s="298">
        <v>8.0433131135157904E-3</v>
      </c>
      <c r="I84" s="298">
        <v>9.1411482785596215E-3</v>
      </c>
      <c r="J84" s="298">
        <v>1.3328297513609087E-2</v>
      </c>
      <c r="K84" s="298">
        <v>9.9334339431091864E-3</v>
      </c>
      <c r="L84" s="298">
        <v>8.7776949548354632E-3</v>
      </c>
      <c r="M84" s="298">
        <v>2.8422690440152187E-3</v>
      </c>
      <c r="N84" s="298">
        <v>1.7693174251628295E-3</v>
      </c>
      <c r="O84" s="298">
        <v>2.3683965026528521E-3</v>
      </c>
      <c r="P84" s="298">
        <v>2.2687748359132434E-3</v>
      </c>
      <c r="Q84" s="298">
        <v>3.2956893394252857E-3</v>
      </c>
      <c r="R84" s="298">
        <v>3.1845733198832878E-3</v>
      </c>
      <c r="S84" s="298">
        <v>3.1845733198832878E-3</v>
      </c>
      <c r="T84" s="298">
        <v>3.1845733198832878E-3</v>
      </c>
      <c r="U84" s="298">
        <v>3.1845733198832878E-3</v>
      </c>
    </row>
    <row r="85" spans="1:21" ht="14.4" x14ac:dyDescent="0.3">
      <c r="A85" s="43">
        <v>23</v>
      </c>
      <c r="B85" s="43"/>
      <c r="C85" s="1"/>
      <c r="D85" s="298">
        <v>14.111336248333169</v>
      </c>
      <c r="E85" s="298">
        <v>4.5502762773923147</v>
      </c>
      <c r="F85" s="298">
        <v>2.8173069900787024</v>
      </c>
      <c r="G85" s="298">
        <v>2.0670952688936821</v>
      </c>
      <c r="H85" s="298">
        <v>2.2928087910650583</v>
      </c>
      <c r="I85" s="298">
        <v>1.9472020944612196</v>
      </c>
      <c r="J85" s="298">
        <v>1.3645089433593613</v>
      </c>
      <c r="K85" s="298">
        <v>1.1709027163413299</v>
      </c>
      <c r="L85" s="298">
        <v>1.0449622436221531</v>
      </c>
      <c r="M85" s="298">
        <v>0.98668776275695924</v>
      </c>
      <c r="N85" s="298">
        <v>0.97151910927620677</v>
      </c>
      <c r="O85" s="298">
        <v>0.91499109629030073</v>
      </c>
      <c r="P85" s="298">
        <v>0.81941237005377587</v>
      </c>
      <c r="Q85" s="298">
        <v>0.64151011524075341</v>
      </c>
      <c r="R85" s="298">
        <v>0.64347399672352978</v>
      </c>
      <c r="S85" s="298">
        <v>0.64347399672352978</v>
      </c>
      <c r="T85" s="298">
        <v>0.64347399672352978</v>
      </c>
      <c r="U85" s="298">
        <v>0.64347399672352978</v>
      </c>
    </row>
    <row r="86" spans="1:21" ht="14.4" x14ac:dyDescent="0.3">
      <c r="A86" s="43">
        <v>24</v>
      </c>
      <c r="B86" s="43"/>
      <c r="C86" s="1"/>
      <c r="D86" s="298">
        <v>3.6824454901743818E-2</v>
      </c>
      <c r="E86" s="298">
        <v>9.8382681602157043E-3</v>
      </c>
      <c r="F86" s="298">
        <v>2.4869442257516557E-3</v>
      </c>
      <c r="G86" s="298">
        <v>3.7823320015961076E-3</v>
      </c>
      <c r="H86" s="298">
        <v>3.0035667733548503E-3</v>
      </c>
      <c r="I86" s="298">
        <v>5.3235417328994826E-3</v>
      </c>
      <c r="J86" s="298">
        <v>5.8116700278296428E-3</v>
      </c>
      <c r="K86" s="298">
        <v>2.9855222275943743E-3</v>
      </c>
      <c r="L86" s="298">
        <v>2.3272957918215429E-3</v>
      </c>
      <c r="M86" s="298">
        <v>3.1075268606800422E-3</v>
      </c>
      <c r="N86" s="298">
        <v>1.6642059470906843E-3</v>
      </c>
      <c r="O86" s="298">
        <v>5.0465814106315395E-4</v>
      </c>
      <c r="P86" s="298">
        <v>2.4652728971896356E-3</v>
      </c>
      <c r="Q86" s="298">
        <v>5.6815989694872823E-4</v>
      </c>
      <c r="R86" s="298">
        <v>2.910084521893625E-3</v>
      </c>
      <c r="S86" s="298">
        <v>2.910084521893625E-3</v>
      </c>
      <c r="T86" s="298">
        <v>2.910084521893625E-3</v>
      </c>
      <c r="U86" s="298">
        <v>2.910084521893625E-3</v>
      </c>
    </row>
    <row r="87" spans="1:21" ht="14.4" x14ac:dyDescent="0.3">
      <c r="A87" s="43">
        <v>25</v>
      </c>
      <c r="B87" s="43"/>
      <c r="C87" s="1"/>
      <c r="D87" s="298">
        <v>9.1460847189836905</v>
      </c>
      <c r="E87" s="298">
        <v>3.3287755929835949</v>
      </c>
      <c r="F87" s="298">
        <v>2.4769082641614584</v>
      </c>
      <c r="G87" s="298">
        <v>1.4065816239828657</v>
      </c>
      <c r="H87" s="298">
        <v>0.9812541545579192</v>
      </c>
      <c r="I87" s="298">
        <v>0.87516515937476913</v>
      </c>
      <c r="J87" s="298">
        <v>1.0203047520164361</v>
      </c>
      <c r="K87" s="298">
        <v>0.89181945133108653</v>
      </c>
      <c r="L87" s="298">
        <v>0.77335390981045959</v>
      </c>
      <c r="M87" s="298">
        <v>0.680943962179267</v>
      </c>
      <c r="N87" s="298">
        <v>0.60410783726699213</v>
      </c>
      <c r="O87" s="298">
        <v>0.59625159344747769</v>
      </c>
      <c r="P87" s="298">
        <v>0.57911197721694829</v>
      </c>
      <c r="Q87" s="298">
        <v>0.47588131924725879</v>
      </c>
      <c r="R87" s="298">
        <v>0.48332856078705327</v>
      </c>
      <c r="S87" s="298">
        <v>0.48332856078705327</v>
      </c>
      <c r="T87" s="298">
        <v>0.48332856078705327</v>
      </c>
      <c r="U87" s="298">
        <v>0.48332856078705327</v>
      </c>
    </row>
    <row r="88" spans="1:21" ht="14.4" x14ac:dyDescent="0.3">
      <c r="A88" s="43">
        <v>26</v>
      </c>
      <c r="B88" s="43"/>
      <c r="C88" s="1"/>
      <c r="D88" s="298">
        <v>5.0821504219815294E-2</v>
      </c>
      <c r="E88" s="298">
        <v>5.5062549483802257E-2</v>
      </c>
      <c r="F88" s="298">
        <v>2.6569838221547654E-2</v>
      </c>
      <c r="G88" s="298">
        <v>1.7180710354120391E-2</v>
      </c>
      <c r="H88" s="298">
        <v>1.4413765296386657E-2</v>
      </c>
      <c r="I88" s="298">
        <v>1.340051166752103E-2</v>
      </c>
      <c r="J88" s="298">
        <v>1.2261667576280695E-2</v>
      </c>
      <c r="K88" s="298">
        <v>1.1494261330574136E-2</v>
      </c>
      <c r="L88" s="298">
        <v>1.1502164549246671E-2</v>
      </c>
      <c r="M88" s="298">
        <v>6.3586835670058186E-3</v>
      </c>
      <c r="N88" s="298">
        <v>5.7283366829020497E-3</v>
      </c>
      <c r="O88" s="298">
        <v>1.4156391535011382E-3</v>
      </c>
      <c r="P88" s="298">
        <v>2.35923526977449E-3</v>
      </c>
      <c r="Q88" s="298">
        <v>3.048115692564884E-3</v>
      </c>
      <c r="R88" s="298">
        <v>2.505817916151253E-3</v>
      </c>
      <c r="S88" s="298">
        <v>2.505817916151253E-3</v>
      </c>
      <c r="T88" s="298">
        <v>2.505817916151253E-3</v>
      </c>
      <c r="U88" s="298">
        <v>2.505817916151253E-3</v>
      </c>
    </row>
    <row r="89" spans="1:21" ht="14.4" x14ac:dyDescent="0.3">
      <c r="A89" s="43">
        <v>27</v>
      </c>
      <c r="B89" s="43"/>
      <c r="C89" s="1"/>
      <c r="D89" s="298">
        <v>0.21238680360962095</v>
      </c>
      <c r="E89" s="298">
        <v>0.25707405179893289</v>
      </c>
      <c r="F89" s="298">
        <v>0.16073741316951387</v>
      </c>
      <c r="G89" s="298">
        <v>0.17380962651022741</v>
      </c>
      <c r="H89" s="298">
        <v>9.1193806224074303E-2</v>
      </c>
      <c r="I89" s="298">
        <v>0.33088372878460953</v>
      </c>
      <c r="J89" s="298">
        <v>0.40809218499146371</v>
      </c>
      <c r="K89" s="298">
        <v>0.28326195110267732</v>
      </c>
      <c r="L89" s="298">
        <v>0.20563582476045428</v>
      </c>
      <c r="M89" s="298">
        <v>0.15760505021576746</v>
      </c>
      <c r="N89" s="298">
        <v>9.9377043514666238E-2</v>
      </c>
      <c r="O89" s="298">
        <v>7.5391622206023953E-2</v>
      </c>
      <c r="P89" s="298">
        <v>6.8011485955306775E-2</v>
      </c>
      <c r="Q89" s="298">
        <v>5.56664765461901E-2</v>
      </c>
      <c r="R89" s="298">
        <v>5.3354821022066533E-2</v>
      </c>
      <c r="S89" s="298">
        <v>5.3354821022066533E-2</v>
      </c>
      <c r="T89" s="298">
        <v>5.3354821022066533E-2</v>
      </c>
      <c r="U89" s="298">
        <v>5.3354821022066533E-2</v>
      </c>
    </row>
    <row r="90" spans="1:21" ht="14.4" x14ac:dyDescent="0.3">
      <c r="A90" s="43">
        <v>28</v>
      </c>
      <c r="B90" s="43"/>
      <c r="C90" s="1"/>
      <c r="D90" s="298">
        <v>1.9392625777396737E-2</v>
      </c>
      <c r="E90" s="298">
        <v>4.7102518518670457E-2</v>
      </c>
      <c r="F90" s="298">
        <v>2.8971418661601897E-2</v>
      </c>
      <c r="G90" s="298">
        <v>1.1872541264805246E-2</v>
      </c>
      <c r="H90" s="298">
        <v>6.9611130983163278E-3</v>
      </c>
      <c r="I90" s="298">
        <v>8.5362681900183323E-3</v>
      </c>
      <c r="J90" s="298">
        <v>1.2556658041302614E-2</v>
      </c>
      <c r="K90" s="298">
        <v>1.0537656791068419E-2</v>
      </c>
      <c r="L90" s="298">
        <v>9.2930775732190107E-3</v>
      </c>
      <c r="M90" s="298">
        <v>3.3090135809581808E-3</v>
      </c>
      <c r="N90" s="298">
        <v>8.4429509332862738E-4</v>
      </c>
      <c r="O90" s="298">
        <v>1.7536756837702497E-3</v>
      </c>
      <c r="P90" s="298">
        <v>1.2486380283558422E-3</v>
      </c>
      <c r="Q90" s="298">
        <v>3.2293207653354824E-3</v>
      </c>
      <c r="R90" s="298">
        <v>2.7333925969108054E-3</v>
      </c>
      <c r="S90" s="298">
        <v>2.7333925969108054E-3</v>
      </c>
      <c r="T90" s="298">
        <v>2.7333925969108054E-3</v>
      </c>
      <c r="U90" s="298">
        <v>2.7333925969108054E-3</v>
      </c>
    </row>
    <row r="91" spans="1:21" ht="14.4" x14ac:dyDescent="0.3">
      <c r="A91" s="43">
        <v>29</v>
      </c>
      <c r="B91" s="43"/>
      <c r="C91" s="1"/>
      <c r="D91" s="298">
        <v>6.5146861253923207</v>
      </c>
      <c r="E91" s="298">
        <v>2.6788137999966111</v>
      </c>
      <c r="F91" s="298">
        <v>1.6106667515221753</v>
      </c>
      <c r="G91" s="298">
        <v>1.3975423047728013</v>
      </c>
      <c r="H91" s="298">
        <v>1.3999934630363924</v>
      </c>
      <c r="I91" s="298">
        <v>1.0907850218496227</v>
      </c>
      <c r="J91" s="298">
        <v>0.75870567381450926</v>
      </c>
      <c r="K91" s="298">
        <v>0.75678843679568575</v>
      </c>
      <c r="L91" s="298">
        <v>0.75575983296320848</v>
      </c>
      <c r="M91" s="298">
        <v>0.72478506133268517</v>
      </c>
      <c r="N91" s="298">
        <v>0.61840577400138186</v>
      </c>
      <c r="O91" s="298">
        <v>0.50578743449988961</v>
      </c>
      <c r="P91" s="298">
        <v>0.46727025134098182</v>
      </c>
      <c r="Q91" s="298">
        <v>0.45386743782930422</v>
      </c>
      <c r="R91" s="298">
        <v>0.4514293951690499</v>
      </c>
      <c r="S91" s="298">
        <v>0.4514293951690499</v>
      </c>
      <c r="T91" s="298">
        <v>0.4514293951690499</v>
      </c>
      <c r="U91" s="298">
        <v>0.4514293951690499</v>
      </c>
    </row>
    <row r="92" spans="1:21" ht="14.4" x14ac:dyDescent="0.3">
      <c r="A92" s="43">
        <v>30</v>
      </c>
      <c r="B92" s="43"/>
      <c r="C92" s="1"/>
      <c r="D92" s="298">
        <v>3.4884370898550648E-2</v>
      </c>
      <c r="E92" s="298">
        <v>4.1765772225850796E-3</v>
      </c>
      <c r="F92" s="298">
        <v>3.1945642193693534E-3</v>
      </c>
      <c r="G92" s="298">
        <v>3.60287707209932E-3</v>
      </c>
      <c r="H92" s="298">
        <v>3.2920300374340902E-3</v>
      </c>
      <c r="I92" s="298">
        <v>5.0314868423076246E-3</v>
      </c>
      <c r="J92" s="298">
        <v>4.6053075814346854E-3</v>
      </c>
      <c r="K92" s="298">
        <v>3.6991571943863818E-3</v>
      </c>
      <c r="L92" s="298">
        <v>1.9564019833816105E-3</v>
      </c>
      <c r="M92" s="298">
        <v>2.8717553777810353E-3</v>
      </c>
      <c r="N92" s="298">
        <v>2.6821760992090326E-3</v>
      </c>
      <c r="O92" s="298">
        <v>5.3985110846739104E-4</v>
      </c>
      <c r="P92" s="298">
        <v>8.6189772740157076E-4</v>
      </c>
      <c r="Q92" s="298">
        <v>7.0587971191137216E-4</v>
      </c>
      <c r="R92" s="298">
        <v>2.5967183728580682E-3</v>
      </c>
      <c r="S92" s="298">
        <v>2.5967183728580682E-3</v>
      </c>
      <c r="T92" s="298">
        <v>2.5967183728580682E-3</v>
      </c>
      <c r="U92" s="298">
        <v>2.5967183728580682E-3</v>
      </c>
    </row>
    <row r="93" spans="1:21" ht="14.4" x14ac:dyDescent="0.3">
      <c r="A93" s="43">
        <v>31</v>
      </c>
      <c r="B93" s="43"/>
      <c r="C93" s="1"/>
      <c r="D93" s="298">
        <v>6.3339107327432735</v>
      </c>
      <c r="E93" s="298">
        <v>2.4858685050570775</v>
      </c>
      <c r="F93" s="298">
        <v>1.4322222537619056</v>
      </c>
      <c r="G93" s="298">
        <v>0.82280279165842463</v>
      </c>
      <c r="H93" s="298">
        <v>0.68512353629472578</v>
      </c>
      <c r="I93" s="298">
        <v>0.58112005814292844</v>
      </c>
      <c r="J93" s="298">
        <v>0.56772740214173922</v>
      </c>
      <c r="K93" s="298">
        <v>0.46221863452787271</v>
      </c>
      <c r="L93" s="298">
        <v>0.42486576546865334</v>
      </c>
      <c r="M93" s="298">
        <v>0.43056874893088998</v>
      </c>
      <c r="N93" s="298">
        <v>0.43268010175951643</v>
      </c>
      <c r="O93" s="298">
        <v>0.37617527613812002</v>
      </c>
      <c r="P93" s="298">
        <v>0.31678577460681751</v>
      </c>
      <c r="Q93" s="298">
        <v>0.30877008317967913</v>
      </c>
      <c r="R93" s="298">
        <v>0.3120658886678041</v>
      </c>
      <c r="S93" s="298">
        <v>0.3120658886678041</v>
      </c>
      <c r="T93" s="298">
        <v>0.3120658886678041</v>
      </c>
      <c r="U93" s="298">
        <v>0.3120658886678041</v>
      </c>
    </row>
    <row r="94" spans="1:21" ht="14.4" x14ac:dyDescent="0.3">
      <c r="A94" s="43">
        <v>32</v>
      </c>
      <c r="B94" s="43"/>
      <c r="C94" s="1"/>
      <c r="D94" s="298">
        <v>4.6506205535545839E-2</v>
      </c>
      <c r="E94" s="298">
        <v>3.3260518350729629E-2</v>
      </c>
      <c r="F94" s="298">
        <v>2.9586195514357663E-2</v>
      </c>
      <c r="G94" s="298">
        <v>1.9535797704362808E-2</v>
      </c>
      <c r="H94" s="298">
        <v>1.4563606306652922E-2</v>
      </c>
      <c r="I94" s="298">
        <v>1.305927336868163E-2</v>
      </c>
      <c r="J94" s="298">
        <v>8.8970610246392086E-3</v>
      </c>
      <c r="K94" s="298">
        <v>1.1901375104307985E-2</v>
      </c>
      <c r="L94" s="298">
        <v>1.1921658515740853E-2</v>
      </c>
      <c r="M94" s="298">
        <v>5.9187663071225798E-3</v>
      </c>
      <c r="N94" s="298">
        <v>4.587462629749072E-3</v>
      </c>
      <c r="O94" s="298">
        <v>1.2699646308248702E-3</v>
      </c>
      <c r="P94" s="298">
        <v>2.2444292602197963E-3</v>
      </c>
      <c r="Q94" s="298">
        <v>2.8384966763810126E-3</v>
      </c>
      <c r="R94" s="298">
        <v>2.9287371239286731E-3</v>
      </c>
      <c r="S94" s="298">
        <v>2.9287371239286731E-3</v>
      </c>
      <c r="T94" s="298">
        <v>2.9287371239286731E-3</v>
      </c>
      <c r="U94" s="298">
        <v>2.9287371239286731E-3</v>
      </c>
    </row>
    <row r="95" spans="1:21" ht="14.4" x14ac:dyDescent="0.3">
      <c r="A95" s="43">
        <v>33</v>
      </c>
      <c r="B95" s="43"/>
      <c r="C95" s="1"/>
      <c r="D95" s="298">
        <v>0.30274927892914244</v>
      </c>
      <c r="E95" s="298">
        <v>1.7216657169820748E-2</v>
      </c>
      <c r="F95" s="298">
        <v>0.12233571605865014</v>
      </c>
      <c r="G95" s="298">
        <v>0.13605621192601108</v>
      </c>
      <c r="H95" s="298">
        <v>7.0763148414675126E-2</v>
      </c>
      <c r="I95" s="298">
        <v>0.26563628264177047</v>
      </c>
      <c r="J95" s="298">
        <v>0.34165566585023771</v>
      </c>
      <c r="K95" s="298">
        <v>0.22742267911109676</v>
      </c>
      <c r="L95" s="298">
        <v>0.15381673439332844</v>
      </c>
      <c r="M95" s="298">
        <v>0.11558930646976719</v>
      </c>
      <c r="N95" s="298">
        <v>8.4151409301761251E-2</v>
      </c>
      <c r="O95" s="298">
        <v>6.7503639523961864E-2</v>
      </c>
      <c r="P95" s="298">
        <v>5.6413371607669127E-2</v>
      </c>
      <c r="Q95" s="298">
        <v>4.1647697018963321E-2</v>
      </c>
      <c r="R95" s="298">
        <v>3.9799798597555773E-2</v>
      </c>
      <c r="S95" s="298">
        <v>3.9799798597555773E-2</v>
      </c>
      <c r="T95" s="298">
        <v>3.9799798597555773E-2</v>
      </c>
      <c r="U95" s="298">
        <v>3.9799798597555773E-2</v>
      </c>
    </row>
    <row r="96" spans="1:21" ht="14.4" x14ac:dyDescent="0.3">
      <c r="A96" s="43">
        <v>34</v>
      </c>
      <c r="B96" s="43"/>
      <c r="C96" s="1"/>
      <c r="D96" s="298">
        <v>0.15658261184107439</v>
      </c>
      <c r="E96" s="298">
        <v>6.9206297258360139E-2</v>
      </c>
      <c r="F96" s="298">
        <v>0.11719738000471913</v>
      </c>
      <c r="G96" s="298">
        <v>9.0950515996728487E-2</v>
      </c>
      <c r="H96" s="298">
        <v>5.6069430808107633E-2</v>
      </c>
      <c r="I96" s="298">
        <v>0.18457651004529252</v>
      </c>
      <c r="J96" s="298">
        <v>0.21861320828195963</v>
      </c>
      <c r="K96" s="298">
        <v>0.14805460867942424</v>
      </c>
      <c r="L96" s="298">
        <v>0.10865726471480185</v>
      </c>
      <c r="M96" s="298">
        <v>8.7921961526698345E-2</v>
      </c>
      <c r="N96" s="298">
        <v>5.8256465500538285E-2</v>
      </c>
      <c r="O96" s="298">
        <v>4.4253058727944716E-2</v>
      </c>
      <c r="P96" s="298">
        <v>3.9509788445304235E-2</v>
      </c>
      <c r="Q96" s="298">
        <v>2.9542651780987427E-2</v>
      </c>
      <c r="R96" s="298">
        <v>2.8071591122090556E-2</v>
      </c>
      <c r="S96" s="298">
        <v>2.8071591122090556E-2</v>
      </c>
      <c r="T96" s="298">
        <v>2.8071591122090556E-2</v>
      </c>
      <c r="U96" s="298">
        <v>2.8071591122090556E-2</v>
      </c>
    </row>
    <row r="97" spans="1:21" ht="14.4" x14ac:dyDescent="0.3">
      <c r="A97" s="43">
        <v>35</v>
      </c>
      <c r="B97" s="43"/>
      <c r="C97" s="1"/>
      <c r="D97" s="298">
        <v>5.9029852258662023</v>
      </c>
      <c r="E97" s="298">
        <v>1.4733260588243429</v>
      </c>
      <c r="F97" s="298">
        <v>1.2803616292235322</v>
      </c>
      <c r="G97" s="298">
        <v>1.0290257258239199</v>
      </c>
      <c r="H97" s="298">
        <v>0.95078684693100002</v>
      </c>
      <c r="I97" s="298">
        <v>0.68755518357204037</v>
      </c>
      <c r="J97" s="298">
        <v>0.51648077967213191</v>
      </c>
      <c r="K97" s="298">
        <v>0.5658478637815777</v>
      </c>
      <c r="L97" s="298">
        <v>0.55172205299175037</v>
      </c>
      <c r="M97" s="298">
        <v>0.48796466250698262</v>
      </c>
      <c r="N97" s="298">
        <v>0.39029335703643686</v>
      </c>
      <c r="O97" s="298">
        <v>0.36343466624775511</v>
      </c>
      <c r="P97" s="298">
        <v>0.35166631128246867</v>
      </c>
      <c r="Q97" s="298">
        <v>0.28545240285608292</v>
      </c>
      <c r="R97" s="298">
        <v>0.28281840150514814</v>
      </c>
      <c r="S97" s="298">
        <v>0.28281840150514814</v>
      </c>
      <c r="T97" s="298">
        <v>0.28281840150514814</v>
      </c>
      <c r="U97" s="298">
        <v>0.28281840150514814</v>
      </c>
    </row>
    <row r="98" spans="1:21" ht="14.4" x14ac:dyDescent="0.3">
      <c r="A98" s="43">
        <v>36</v>
      </c>
      <c r="B98" s="43"/>
      <c r="C98" s="1"/>
      <c r="D98" s="298">
        <v>0.15658261184107439</v>
      </c>
      <c r="E98" s="298">
        <v>6.9206297258360139E-2</v>
      </c>
      <c r="F98" s="298">
        <v>0.11719738000471913</v>
      </c>
      <c r="G98" s="298">
        <v>9.0950515996728487E-2</v>
      </c>
      <c r="H98" s="298">
        <v>5.6069430808107633E-2</v>
      </c>
      <c r="I98" s="298">
        <v>0.18457651004529252</v>
      </c>
      <c r="J98" s="298">
        <v>0.21861320828195963</v>
      </c>
      <c r="K98" s="298">
        <v>0.14805460867942424</v>
      </c>
      <c r="L98" s="298">
        <v>0.10865726471480185</v>
      </c>
      <c r="M98" s="298">
        <v>8.7921961526698345E-2</v>
      </c>
      <c r="N98" s="298">
        <v>5.8256465500538285E-2</v>
      </c>
      <c r="O98" s="298">
        <v>4.4253058727944716E-2</v>
      </c>
      <c r="P98" s="298">
        <v>3.9509788445304235E-2</v>
      </c>
      <c r="Q98" s="298">
        <v>2.9542651780987427E-2</v>
      </c>
      <c r="R98" s="298">
        <v>2.8071591122090556E-2</v>
      </c>
      <c r="S98" s="298">
        <v>2.8071591122090556E-2</v>
      </c>
      <c r="T98" s="298">
        <v>2.8071591122090556E-2</v>
      </c>
      <c r="U98" s="298">
        <v>2.8071591122090556E-2</v>
      </c>
    </row>
    <row r="99" spans="1:21" ht="14.4" x14ac:dyDescent="0.3">
      <c r="A99" s="43">
        <v>37</v>
      </c>
      <c r="B99" s="43"/>
      <c r="C99" s="1"/>
      <c r="D99" s="298">
        <v>4.7242605294817244</v>
      </c>
      <c r="E99" s="298">
        <v>1.4147795985274163</v>
      </c>
      <c r="F99" s="298">
        <v>0.86563302172429457</v>
      </c>
      <c r="G99" s="298">
        <v>0.58792408051231626</v>
      </c>
      <c r="H99" s="298">
        <v>0.44571284137714501</v>
      </c>
      <c r="I99" s="298">
        <v>0.35071388358174704</v>
      </c>
      <c r="J99" s="298">
        <v>0.34192356461046053</v>
      </c>
      <c r="K99" s="298">
        <v>0.32136315457507253</v>
      </c>
      <c r="L99" s="298">
        <v>0.32334277343163409</v>
      </c>
      <c r="M99" s="298">
        <v>0.31458122808120276</v>
      </c>
      <c r="N99" s="298">
        <v>0.26038899134139826</v>
      </c>
      <c r="O99" s="298">
        <v>0.23293659142238254</v>
      </c>
      <c r="P99" s="298">
        <v>0.23495243567481122</v>
      </c>
      <c r="Q99" s="298">
        <v>0.1983093021126322</v>
      </c>
      <c r="R99" s="298">
        <v>0.19995839901366486</v>
      </c>
      <c r="S99" s="298">
        <v>0.19995839901366486</v>
      </c>
      <c r="T99" s="298">
        <v>0.19995839901366486</v>
      </c>
      <c r="U99" s="298">
        <v>0.19995839901366486</v>
      </c>
    </row>
    <row r="100" spans="1:21" ht="14.4" x14ac:dyDescent="0.3">
      <c r="A100" s="43">
        <v>38</v>
      </c>
      <c r="B100" s="43"/>
      <c r="C100" s="1"/>
      <c r="D100" s="298">
        <v>0.15658261184107439</v>
      </c>
      <c r="E100" s="298">
        <v>6.9206297258360139E-2</v>
      </c>
      <c r="F100" s="298">
        <v>0.11719738000471913</v>
      </c>
      <c r="G100" s="298">
        <v>9.0950515996728487E-2</v>
      </c>
      <c r="H100" s="298">
        <v>5.6069430808107633E-2</v>
      </c>
      <c r="I100" s="298">
        <v>0.18457651004529252</v>
      </c>
      <c r="J100" s="298">
        <v>0.21861320828195963</v>
      </c>
      <c r="K100" s="298">
        <v>0.14805460867942424</v>
      </c>
      <c r="L100" s="298">
        <v>0.10865726471480185</v>
      </c>
      <c r="M100" s="298">
        <v>8.7921961526698345E-2</v>
      </c>
      <c r="N100" s="298">
        <v>5.8256465500538285E-2</v>
      </c>
      <c r="O100" s="298">
        <v>4.4253058727944716E-2</v>
      </c>
      <c r="P100" s="298">
        <v>3.9509788445304235E-2</v>
      </c>
      <c r="Q100" s="298">
        <v>2.9542651780987427E-2</v>
      </c>
      <c r="R100" s="298">
        <v>2.8071591122090556E-2</v>
      </c>
      <c r="S100" s="298">
        <v>2.8071591122090556E-2</v>
      </c>
      <c r="T100" s="298">
        <v>2.8071591122090556E-2</v>
      </c>
      <c r="U100" s="298">
        <v>2.8071591122090556E-2</v>
      </c>
    </row>
    <row r="101" spans="1:21" ht="14.4" x14ac:dyDescent="0.3">
      <c r="A101" s="43">
        <v>39</v>
      </c>
      <c r="B101" s="43"/>
      <c r="C101" s="1"/>
      <c r="D101" s="298">
        <v>0.2079850899943797</v>
      </c>
      <c r="E101" s="298">
        <v>0.13041647508011303</v>
      </c>
      <c r="F101" s="298">
        <v>0.12947509110634475</v>
      </c>
      <c r="G101" s="298">
        <v>0.11009404781577684</v>
      </c>
      <c r="H101" s="298">
        <v>6.014929527512837E-2</v>
      </c>
      <c r="I101" s="298">
        <v>0.21949671273146126</v>
      </c>
      <c r="J101" s="298">
        <v>0.27640701454444089</v>
      </c>
      <c r="K101" s="298">
        <v>0.17818419975534588</v>
      </c>
      <c r="L101" s="298">
        <v>0.12256174642203793</v>
      </c>
      <c r="M101" s="298">
        <v>9.8387203409769475E-2</v>
      </c>
      <c r="N101" s="298">
        <v>7.1958024598108364E-2</v>
      </c>
      <c r="O101" s="298">
        <v>5.1366620792552581E-2</v>
      </c>
      <c r="P101" s="298">
        <v>4.2850088405828553E-2</v>
      </c>
      <c r="Q101" s="298">
        <v>3.5922322150466021E-2</v>
      </c>
      <c r="R101" s="298">
        <v>3.4556391879303032E-2</v>
      </c>
      <c r="S101" s="298">
        <v>3.4556391879303032E-2</v>
      </c>
      <c r="T101" s="298">
        <v>3.4556391879303032E-2</v>
      </c>
      <c r="U101" s="298">
        <v>3.4556391879303032E-2</v>
      </c>
    </row>
    <row r="102" spans="1:21" ht="14.4" x14ac:dyDescent="0.3">
      <c r="A102" s="43">
        <v>40</v>
      </c>
      <c r="B102" s="43"/>
      <c r="C102" s="1"/>
      <c r="D102" s="298">
        <v>0.15658261184107439</v>
      </c>
      <c r="E102" s="298">
        <v>6.9206297258360139E-2</v>
      </c>
      <c r="F102" s="298">
        <v>0.11719738000471913</v>
      </c>
      <c r="G102" s="298">
        <v>9.0950515996728487E-2</v>
      </c>
      <c r="H102" s="298">
        <v>5.6069430808107633E-2</v>
      </c>
      <c r="I102" s="298">
        <v>0.18457651004529252</v>
      </c>
      <c r="J102" s="298">
        <v>0.21861320828195963</v>
      </c>
      <c r="K102" s="298">
        <v>0.14805460867942424</v>
      </c>
      <c r="L102" s="298">
        <v>0.10865726471480185</v>
      </c>
      <c r="M102" s="298">
        <v>8.7921961526698345E-2</v>
      </c>
      <c r="N102" s="298">
        <v>5.8256465500538285E-2</v>
      </c>
      <c r="O102" s="298">
        <v>4.4253058727944716E-2</v>
      </c>
      <c r="P102" s="298">
        <v>3.9509788445304235E-2</v>
      </c>
      <c r="Q102" s="298">
        <v>2.9542651780987427E-2</v>
      </c>
      <c r="R102" s="298">
        <v>2.8071591122090556E-2</v>
      </c>
      <c r="S102" s="298">
        <v>2.8071591122090556E-2</v>
      </c>
      <c r="T102" s="298">
        <v>2.8071591122090556E-2</v>
      </c>
      <c r="U102" s="298">
        <v>2.8071591122090556E-2</v>
      </c>
    </row>
    <row r="103" spans="1:21" ht="14.4" x14ac:dyDescent="0.3">
      <c r="A103" s="43">
        <v>41</v>
      </c>
      <c r="B103" s="43"/>
      <c r="C103" s="1"/>
      <c r="D103" s="298">
        <v>2.9593523720748518</v>
      </c>
      <c r="E103" s="298">
        <v>1.3960448536050045</v>
      </c>
      <c r="F103" s="298">
        <v>0.9788469484846104</v>
      </c>
      <c r="G103" s="298">
        <v>0.76626902234982497</v>
      </c>
      <c r="H103" s="298">
        <v>0.64986432358583057</v>
      </c>
      <c r="I103" s="298">
        <v>0.49479101470748305</v>
      </c>
      <c r="J103" s="298">
        <v>0.39951328972932304</v>
      </c>
      <c r="K103" s="298">
        <v>0.41594580564321404</v>
      </c>
      <c r="L103" s="298">
        <v>0.37579029347140652</v>
      </c>
      <c r="M103" s="298">
        <v>0.32440122806902955</v>
      </c>
      <c r="N103" s="298">
        <v>0.30529874652047795</v>
      </c>
      <c r="O103" s="298">
        <v>0.272856325769609</v>
      </c>
      <c r="P103" s="298">
        <v>0.23528249165808171</v>
      </c>
      <c r="Q103" s="298">
        <v>0.21930268062364178</v>
      </c>
      <c r="R103" s="298">
        <v>0.21942223358685053</v>
      </c>
      <c r="S103" s="298">
        <v>0.21942223358685053</v>
      </c>
      <c r="T103" s="298">
        <v>0.21942223358685053</v>
      </c>
      <c r="U103" s="298">
        <v>0.21942223358685053</v>
      </c>
    </row>
    <row r="104" spans="1:21" ht="14.4" x14ac:dyDescent="0.3">
      <c r="A104" s="43">
        <v>42</v>
      </c>
      <c r="B104" s="43"/>
      <c r="C104" s="1"/>
      <c r="D104" s="298">
        <v>0.15658261184107439</v>
      </c>
      <c r="E104" s="298">
        <v>6.9206297258360139E-2</v>
      </c>
      <c r="F104" s="298">
        <v>0.11719738000471913</v>
      </c>
      <c r="G104" s="298">
        <v>9.0950515996728487E-2</v>
      </c>
      <c r="H104" s="298">
        <v>5.6069430808107633E-2</v>
      </c>
      <c r="I104" s="298">
        <v>0.18457651004529252</v>
      </c>
      <c r="J104" s="298">
        <v>0.21861320828195963</v>
      </c>
      <c r="K104" s="298">
        <v>0.14805460867942424</v>
      </c>
      <c r="L104" s="298">
        <v>0.10865726471480185</v>
      </c>
      <c r="M104" s="298">
        <v>8.7921961526698345E-2</v>
      </c>
      <c r="N104" s="298">
        <v>5.8256465500538285E-2</v>
      </c>
      <c r="O104" s="298">
        <v>4.4253058727944716E-2</v>
      </c>
      <c r="P104" s="298">
        <v>3.9509788445304235E-2</v>
      </c>
      <c r="Q104" s="298">
        <v>2.9542651780987427E-2</v>
      </c>
      <c r="R104" s="298">
        <v>2.8071591122090556E-2</v>
      </c>
      <c r="S104" s="298">
        <v>2.8071591122090556E-2</v>
      </c>
      <c r="T104" s="298">
        <v>2.8071591122090556E-2</v>
      </c>
      <c r="U104" s="298">
        <v>2.8071591122090556E-2</v>
      </c>
    </row>
    <row r="105" spans="1:21" ht="14.4" x14ac:dyDescent="0.3">
      <c r="A105" s="43">
        <v>43</v>
      </c>
      <c r="B105" s="43"/>
      <c r="C105" s="1"/>
      <c r="D105" s="298">
        <v>2.2178560512821952</v>
      </c>
      <c r="E105" s="298">
        <v>1.1905972320783262</v>
      </c>
      <c r="F105" s="298">
        <v>0.75615175660327605</v>
      </c>
      <c r="G105" s="298">
        <v>0.45362551647456517</v>
      </c>
      <c r="H105" s="298">
        <v>0.28528173727691464</v>
      </c>
      <c r="I105" s="298">
        <v>0.21779752656057286</v>
      </c>
      <c r="J105" s="298">
        <v>0.25538951981730396</v>
      </c>
      <c r="K105" s="298">
        <v>0.24818871965708805</v>
      </c>
      <c r="L105" s="298">
        <v>0.22308863199724832</v>
      </c>
      <c r="M105" s="298">
        <v>0.19779080449305989</v>
      </c>
      <c r="N105" s="298">
        <v>0.1877023014843526</v>
      </c>
      <c r="O105" s="298">
        <v>0.18024721970812474</v>
      </c>
      <c r="P105" s="298">
        <v>0.14969356494618877</v>
      </c>
      <c r="Q105" s="298">
        <v>0.15402172112964774</v>
      </c>
      <c r="R105" s="298">
        <v>0.14788153997371078</v>
      </c>
      <c r="S105" s="298">
        <v>0.14788153997371078</v>
      </c>
      <c r="T105" s="298">
        <v>0.14788153997371078</v>
      </c>
      <c r="U105" s="298">
        <v>0.14788153997371078</v>
      </c>
    </row>
    <row r="106" spans="1:21" ht="14.4" x14ac:dyDescent="0.3">
      <c r="A106" s="43">
        <v>44</v>
      </c>
      <c r="B106" s="43"/>
      <c r="C106" s="1"/>
      <c r="D106" s="298">
        <v>0.15658261184107439</v>
      </c>
      <c r="E106" s="298">
        <v>6.9206297258360139E-2</v>
      </c>
      <c r="F106" s="298">
        <v>0.11719738000471913</v>
      </c>
      <c r="G106" s="298">
        <v>9.0950515996728487E-2</v>
      </c>
      <c r="H106" s="298">
        <v>5.6069430808107633E-2</v>
      </c>
      <c r="I106" s="298">
        <v>0.18457651004529252</v>
      </c>
      <c r="J106" s="298">
        <v>0.21861320828195963</v>
      </c>
      <c r="K106" s="298">
        <v>0.14805460867942424</v>
      </c>
      <c r="L106" s="298">
        <v>0.10865726471480185</v>
      </c>
      <c r="M106" s="298">
        <v>8.7921961526698345E-2</v>
      </c>
      <c r="N106" s="298">
        <v>5.8256465500538285E-2</v>
      </c>
      <c r="O106" s="298">
        <v>4.4253058727944716E-2</v>
      </c>
      <c r="P106" s="298">
        <v>3.9509788445304235E-2</v>
      </c>
      <c r="Q106" s="298">
        <v>2.9542651780987427E-2</v>
      </c>
      <c r="R106" s="298">
        <v>2.8071591122090556E-2</v>
      </c>
      <c r="S106" s="298">
        <v>2.8071591122090556E-2</v>
      </c>
      <c r="T106" s="298">
        <v>2.8071591122090556E-2</v>
      </c>
      <c r="U106" s="298">
        <v>2.8071591122090556E-2</v>
      </c>
    </row>
    <row r="107" spans="1:21" ht="14.4" x14ac:dyDescent="0.3">
      <c r="A107" s="43">
        <v>45</v>
      </c>
      <c r="B107" s="43"/>
      <c r="C107" s="1"/>
      <c r="D107" s="298">
        <v>0.15674381381219379</v>
      </c>
      <c r="E107" s="298">
        <v>6.9135515452953725E-2</v>
      </c>
      <c r="F107" s="298">
        <v>0.11721931861181524</v>
      </c>
      <c r="G107" s="298">
        <v>9.0976276916425139E-2</v>
      </c>
      <c r="H107" s="298">
        <v>5.5974795488511517E-2</v>
      </c>
      <c r="I107" s="298">
        <v>0.18455139999068912</v>
      </c>
      <c r="J107" s="298">
        <v>0.21866515563030009</v>
      </c>
      <c r="K107" s="298">
        <v>0.14808361462956454</v>
      </c>
      <c r="L107" s="298">
        <v>0.10867252849450271</v>
      </c>
      <c r="M107" s="298">
        <v>8.7932880027034033E-2</v>
      </c>
      <c r="N107" s="298">
        <v>5.8261619608528936E-2</v>
      </c>
      <c r="O107" s="298">
        <v>4.4254803859095013E-2</v>
      </c>
      <c r="P107" s="298">
        <v>3.9511622355493263E-2</v>
      </c>
      <c r="Q107" s="298">
        <v>2.9543012509050892E-2</v>
      </c>
      <c r="R107" s="298">
        <v>2.8071590865564936E-2</v>
      </c>
      <c r="S107" s="298">
        <v>2.8071590865564936E-2</v>
      </c>
      <c r="T107" s="298">
        <v>2.8071590865564936E-2</v>
      </c>
      <c r="U107" s="298">
        <v>2.8071590865564936E-2</v>
      </c>
    </row>
    <row r="108" spans="1:21" ht="14.4" x14ac:dyDescent="0.3">
      <c r="A108" s="43">
        <v>46</v>
      </c>
      <c r="B108" s="43"/>
      <c r="C108" s="1"/>
      <c r="D108" s="298">
        <v>0.15658261184107439</v>
      </c>
      <c r="E108" s="298">
        <v>6.9206297258360139E-2</v>
      </c>
      <c r="F108" s="298">
        <v>0.11719738000471913</v>
      </c>
      <c r="G108" s="298">
        <v>9.0950515996728487E-2</v>
      </c>
      <c r="H108" s="298">
        <v>5.6069430808107633E-2</v>
      </c>
      <c r="I108" s="298">
        <v>0.18457651004529252</v>
      </c>
      <c r="J108" s="298">
        <v>0.21861320828195963</v>
      </c>
      <c r="K108" s="298">
        <v>0.14805460867942424</v>
      </c>
      <c r="L108" s="298">
        <v>0.10865726471480185</v>
      </c>
      <c r="M108" s="298">
        <v>8.7921961526698345E-2</v>
      </c>
      <c r="N108" s="298">
        <v>5.8256465500538285E-2</v>
      </c>
      <c r="O108" s="298">
        <v>4.4253058727944716E-2</v>
      </c>
      <c r="P108" s="298">
        <v>3.9509788445304235E-2</v>
      </c>
      <c r="Q108" s="298">
        <v>2.9542651780987427E-2</v>
      </c>
      <c r="R108" s="298">
        <v>2.8071591122090556E-2</v>
      </c>
      <c r="S108" s="298">
        <v>2.8071591122090556E-2</v>
      </c>
      <c r="T108" s="298">
        <v>2.8071591122090556E-2</v>
      </c>
      <c r="U108" s="298">
        <v>2.8071591122090556E-2</v>
      </c>
    </row>
    <row r="109" spans="1:21" ht="14.4" x14ac:dyDescent="0.3">
      <c r="A109" s="43">
        <v>47</v>
      </c>
      <c r="B109" s="43"/>
      <c r="C109" s="1"/>
      <c r="D109" s="298">
        <v>2.3268630691236321</v>
      </c>
      <c r="E109" s="298">
        <v>0.78641478977548207</v>
      </c>
      <c r="F109" s="298">
        <v>0.65683719239534155</v>
      </c>
      <c r="G109" s="298">
        <v>0.58143321676267457</v>
      </c>
      <c r="H109" s="298">
        <v>0.44928960665019158</v>
      </c>
      <c r="I109" s="298">
        <v>0.41294151992551731</v>
      </c>
      <c r="J109" s="298">
        <v>0.2940568330031525</v>
      </c>
      <c r="K109" s="298">
        <v>0.2786885915405366</v>
      </c>
      <c r="L109" s="298">
        <v>0.26697263616116279</v>
      </c>
      <c r="M109" s="298">
        <v>0.26064585390490097</v>
      </c>
      <c r="N109" s="298">
        <v>0.2367936036530196</v>
      </c>
      <c r="O109" s="298">
        <v>0.19038468562778788</v>
      </c>
      <c r="P109" s="298">
        <v>0.18456070692514012</v>
      </c>
      <c r="Q109" s="298">
        <v>0.16108516476637483</v>
      </c>
      <c r="R109" s="298">
        <v>0.15522073313539117</v>
      </c>
      <c r="S109" s="298">
        <v>0.15522073313539117</v>
      </c>
      <c r="T109" s="298">
        <v>0.15522073313539117</v>
      </c>
      <c r="U109" s="298">
        <v>0.15522073313539117</v>
      </c>
    </row>
    <row r="110" spans="1:21" ht="14.4" x14ac:dyDescent="0.3">
      <c r="A110" s="43">
        <v>48</v>
      </c>
      <c r="B110" s="43"/>
      <c r="C110" s="1"/>
      <c r="D110" s="298">
        <v>0.15658261184107439</v>
      </c>
      <c r="E110" s="298">
        <v>6.9206297258360139E-2</v>
      </c>
      <c r="F110" s="298">
        <v>0.11719738000471913</v>
      </c>
      <c r="G110" s="298">
        <v>9.0950515996728487E-2</v>
      </c>
      <c r="H110" s="298">
        <v>5.6069430808107633E-2</v>
      </c>
      <c r="I110" s="298">
        <v>0.18457651004529252</v>
      </c>
      <c r="J110" s="298">
        <v>0.21861320828195963</v>
      </c>
      <c r="K110" s="298">
        <v>0.14805460867942424</v>
      </c>
      <c r="L110" s="298">
        <v>0.10865726471480185</v>
      </c>
      <c r="M110" s="298">
        <v>8.7921961526698345E-2</v>
      </c>
      <c r="N110" s="298">
        <v>5.8256465500538285E-2</v>
      </c>
      <c r="O110" s="298">
        <v>4.4253058727944716E-2</v>
      </c>
      <c r="P110" s="298">
        <v>3.9509788445304235E-2</v>
      </c>
      <c r="Q110" s="298">
        <v>2.9542651780987427E-2</v>
      </c>
      <c r="R110" s="298">
        <v>2.8071591122090556E-2</v>
      </c>
      <c r="S110" s="298">
        <v>2.8071591122090556E-2</v>
      </c>
      <c r="T110" s="298">
        <v>2.8071591122090556E-2</v>
      </c>
      <c r="U110" s="298">
        <v>2.8071591122090556E-2</v>
      </c>
    </row>
    <row r="111" spans="1:21" ht="14.4" x14ac:dyDescent="0.3">
      <c r="A111" s="43">
        <v>49</v>
      </c>
      <c r="B111" s="43"/>
      <c r="C111" s="1"/>
      <c r="D111" s="298">
        <v>2.222090686942058</v>
      </c>
      <c r="E111" s="298">
        <v>0.8231320290067401</v>
      </c>
      <c r="F111" s="298">
        <v>0.54372728367538525</v>
      </c>
      <c r="G111" s="298">
        <v>0.33388586731319231</v>
      </c>
      <c r="H111" s="298">
        <v>0.20472977887589594</v>
      </c>
      <c r="I111" s="298">
        <v>0.16067909526322774</v>
      </c>
      <c r="J111" s="298">
        <v>0.19635848943192444</v>
      </c>
      <c r="K111" s="298">
        <v>0.18022284651166184</v>
      </c>
      <c r="L111" s="298">
        <v>0.15241194609444156</v>
      </c>
      <c r="M111" s="298">
        <v>0.14568078669873447</v>
      </c>
      <c r="N111" s="298">
        <v>0.14316623416465049</v>
      </c>
      <c r="O111" s="298">
        <v>0.11820986355275069</v>
      </c>
      <c r="P111" s="298">
        <v>0.11324661442841535</v>
      </c>
      <c r="Q111" s="298">
        <v>0.10591950094820782</v>
      </c>
      <c r="R111" s="298">
        <v>0.10181373046970461</v>
      </c>
      <c r="S111" s="298">
        <v>0.10181373046970461</v>
      </c>
      <c r="T111" s="298">
        <v>0.10181373046970461</v>
      </c>
      <c r="U111" s="298">
        <v>0.10181373046970461</v>
      </c>
    </row>
    <row r="112" spans="1:21" ht="14.4" x14ac:dyDescent="0.3">
      <c r="A112" s="43">
        <v>50</v>
      </c>
      <c r="B112" s="43"/>
      <c r="C112" s="1"/>
      <c r="D112" s="298">
        <v>0.15658261184107439</v>
      </c>
      <c r="E112" s="298">
        <v>6.9206297258360139E-2</v>
      </c>
      <c r="F112" s="298">
        <v>0.11719738000471913</v>
      </c>
      <c r="G112" s="298">
        <v>9.0950515996728487E-2</v>
      </c>
      <c r="H112" s="298">
        <v>5.6069430808107633E-2</v>
      </c>
      <c r="I112" s="298">
        <v>0.18457651004529252</v>
      </c>
      <c r="J112" s="298">
        <v>0.21861320828195963</v>
      </c>
      <c r="K112" s="298">
        <v>0.14805460867942424</v>
      </c>
      <c r="L112" s="298">
        <v>0.10865726471480185</v>
      </c>
      <c r="M112" s="298">
        <v>8.7921961526698345E-2</v>
      </c>
      <c r="N112" s="298">
        <v>5.8256465500538285E-2</v>
      </c>
      <c r="O112" s="298">
        <v>4.4253058727944716E-2</v>
      </c>
      <c r="P112" s="298">
        <v>3.9509788445304235E-2</v>
      </c>
      <c r="Q112" s="298">
        <v>2.9542651780987427E-2</v>
      </c>
      <c r="R112" s="298">
        <v>2.8071591122090556E-2</v>
      </c>
      <c r="S112" s="298">
        <v>2.8071591122090556E-2</v>
      </c>
      <c r="T112" s="298">
        <v>2.8071591122090556E-2</v>
      </c>
      <c r="U112" s="298">
        <v>2.8071591122090556E-2</v>
      </c>
    </row>
    <row r="113" spans="2:21" x14ac:dyDescent="0.25">
      <c r="D113" s="51"/>
    </row>
    <row r="114" spans="2:21" x14ac:dyDescent="0.25">
      <c r="B114" s="26" t="s">
        <v>5</v>
      </c>
      <c r="D114" s="32">
        <f t="shared" ref="D114:U114" si="7">SQRT(SUMSQ(D64:D112))</f>
        <v>163.93774717643851</v>
      </c>
      <c r="E114" s="32">
        <f t="shared" si="7"/>
        <v>113.48802501155089</v>
      </c>
      <c r="F114" s="32">
        <f t="shared" si="7"/>
        <v>92.201479834948017</v>
      </c>
      <c r="G114" s="32">
        <f t="shared" si="7"/>
        <v>70.914070764570482</v>
      </c>
      <c r="H114" s="32">
        <f t="shared" si="7"/>
        <v>54.750054571794223</v>
      </c>
      <c r="I114" s="32">
        <f t="shared" si="7"/>
        <v>45.409107972180678</v>
      </c>
      <c r="J114" s="32">
        <f t="shared" si="7"/>
        <v>40.452846599409661</v>
      </c>
      <c r="K114" s="32">
        <f t="shared" si="7"/>
        <v>36.567604373048553</v>
      </c>
      <c r="L114" s="32">
        <f t="shared" si="7"/>
        <v>33.722497172696237</v>
      </c>
      <c r="M114" s="32">
        <f t="shared" si="7"/>
        <v>31.537820676686238</v>
      </c>
      <c r="N114" s="32">
        <f t="shared" si="7"/>
        <v>28.353599859458789</v>
      </c>
      <c r="O114" s="32">
        <f t="shared" si="7"/>
        <v>26.003967172553079</v>
      </c>
      <c r="P114" s="32">
        <f t="shared" si="7"/>
        <v>24.160245237926446</v>
      </c>
      <c r="Q114" s="32">
        <f t="shared" si="7"/>
        <v>21.249690073067327</v>
      </c>
      <c r="R114" s="32">
        <f t="shared" si="7"/>
        <v>21.247242746791578</v>
      </c>
      <c r="S114" s="32">
        <f t="shared" si="7"/>
        <v>21.247242746791578</v>
      </c>
      <c r="T114" s="32">
        <f t="shared" si="7"/>
        <v>21.247242746791578</v>
      </c>
      <c r="U114" s="32">
        <f t="shared" si="7"/>
        <v>21.247242746791578</v>
      </c>
    </row>
    <row r="116" spans="2:21" x14ac:dyDescent="0.25">
      <c r="D116" s="32"/>
      <c r="E116" s="32"/>
      <c r="F116" s="32"/>
      <c r="G116" s="32"/>
      <c r="H116" s="32"/>
      <c r="I116" s="32"/>
    </row>
    <row r="118" spans="2:21" x14ac:dyDescent="0.25">
      <c r="D118" s="32"/>
      <c r="E118" s="32"/>
      <c r="F118" s="32"/>
      <c r="G118" s="32"/>
      <c r="H118" s="32"/>
      <c r="I118" s="32"/>
    </row>
  </sheetData>
  <pageMargins left="0.75" right="0.75" top="1" bottom="1" header="0.5" footer="0.5"/>
  <pageSetup scale="86" fitToWidth="2" fitToHeight="2" orientation="portrait" r:id="rId1"/>
  <headerFooter alignWithMargins="0">
    <oddHeader>&amp;R&amp;D
&amp;T
rh</oddHeader>
    <oddFooter>&amp;L&amp;F
&amp;A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U118"/>
  <sheetViews>
    <sheetView zoomScaleNormal="100" workbookViewId="0"/>
  </sheetViews>
  <sheetFormatPr defaultRowHeight="13.2" x14ac:dyDescent="0.25"/>
  <cols>
    <col min="1" max="6" width="9.109375" style="26"/>
    <col min="7" max="7" width="9.109375" style="26" customWidth="1"/>
    <col min="8" max="8" width="10.6640625" style="26" customWidth="1"/>
    <col min="9" max="10" width="9.109375" style="26"/>
    <col min="11" max="11" width="9.109375" style="26" customWidth="1"/>
    <col min="12" max="262" width="9.109375" style="26"/>
    <col min="263" max="263" width="9.5546875" style="26" bestFit="1" customWidth="1"/>
    <col min="264" max="264" width="10.6640625" style="26" customWidth="1"/>
    <col min="265" max="518" width="9.109375" style="26"/>
    <col min="519" max="519" width="9.5546875" style="26" bestFit="1" customWidth="1"/>
    <col min="520" max="520" width="10.6640625" style="26" customWidth="1"/>
    <col min="521" max="774" width="9.109375" style="26"/>
    <col min="775" max="775" width="9.5546875" style="26" bestFit="1" customWidth="1"/>
    <col min="776" max="776" width="10.6640625" style="26" customWidth="1"/>
    <col min="777" max="1030" width="9.109375" style="26"/>
    <col min="1031" max="1031" width="9.5546875" style="26" bestFit="1" customWidth="1"/>
    <col min="1032" max="1032" width="10.6640625" style="26" customWidth="1"/>
    <col min="1033" max="1286" width="9.109375" style="26"/>
    <col min="1287" max="1287" width="9.5546875" style="26" bestFit="1" customWidth="1"/>
    <col min="1288" max="1288" width="10.6640625" style="26" customWidth="1"/>
    <col min="1289" max="1542" width="9.109375" style="26"/>
    <col min="1543" max="1543" width="9.5546875" style="26" bestFit="1" customWidth="1"/>
    <col min="1544" max="1544" width="10.6640625" style="26" customWidth="1"/>
    <col min="1545" max="1798" width="9.109375" style="26"/>
    <col min="1799" max="1799" width="9.5546875" style="26" bestFit="1" customWidth="1"/>
    <col min="1800" max="1800" width="10.6640625" style="26" customWidth="1"/>
    <col min="1801" max="2054" width="9.109375" style="26"/>
    <col min="2055" max="2055" width="9.5546875" style="26" bestFit="1" customWidth="1"/>
    <col min="2056" max="2056" width="10.6640625" style="26" customWidth="1"/>
    <col min="2057" max="2310" width="9.109375" style="26"/>
    <col min="2311" max="2311" width="9.5546875" style="26" bestFit="1" customWidth="1"/>
    <col min="2312" max="2312" width="10.6640625" style="26" customWidth="1"/>
    <col min="2313" max="2566" width="9.109375" style="26"/>
    <col min="2567" max="2567" width="9.5546875" style="26" bestFit="1" customWidth="1"/>
    <col min="2568" max="2568" width="10.6640625" style="26" customWidth="1"/>
    <col min="2569" max="2822" width="9.109375" style="26"/>
    <col min="2823" max="2823" width="9.5546875" style="26" bestFit="1" customWidth="1"/>
    <col min="2824" max="2824" width="10.6640625" style="26" customWidth="1"/>
    <col min="2825" max="3078" width="9.109375" style="26"/>
    <col min="3079" max="3079" width="9.5546875" style="26" bestFit="1" customWidth="1"/>
    <col min="3080" max="3080" width="10.6640625" style="26" customWidth="1"/>
    <col min="3081" max="3334" width="9.109375" style="26"/>
    <col min="3335" max="3335" width="9.5546875" style="26" bestFit="1" customWidth="1"/>
    <col min="3336" max="3336" width="10.6640625" style="26" customWidth="1"/>
    <col min="3337" max="3590" width="9.109375" style="26"/>
    <col min="3591" max="3591" width="9.5546875" style="26" bestFit="1" customWidth="1"/>
    <col min="3592" max="3592" width="10.6640625" style="26" customWidth="1"/>
    <col min="3593" max="3846" width="9.109375" style="26"/>
    <col min="3847" max="3847" width="9.5546875" style="26" bestFit="1" customWidth="1"/>
    <col min="3848" max="3848" width="10.6640625" style="26" customWidth="1"/>
    <col min="3849" max="4102" width="9.109375" style="26"/>
    <col min="4103" max="4103" width="9.5546875" style="26" bestFit="1" customWidth="1"/>
    <col min="4104" max="4104" width="10.6640625" style="26" customWidth="1"/>
    <col min="4105" max="4358" width="9.109375" style="26"/>
    <col min="4359" max="4359" width="9.5546875" style="26" bestFit="1" customWidth="1"/>
    <col min="4360" max="4360" width="10.6640625" style="26" customWidth="1"/>
    <col min="4361" max="4614" width="9.109375" style="26"/>
    <col min="4615" max="4615" width="9.5546875" style="26" bestFit="1" customWidth="1"/>
    <col min="4616" max="4616" width="10.6640625" style="26" customWidth="1"/>
    <col min="4617" max="4870" width="9.109375" style="26"/>
    <col min="4871" max="4871" width="9.5546875" style="26" bestFit="1" customWidth="1"/>
    <col min="4872" max="4872" width="10.6640625" style="26" customWidth="1"/>
    <col min="4873" max="5126" width="9.109375" style="26"/>
    <col min="5127" max="5127" width="9.5546875" style="26" bestFit="1" customWidth="1"/>
    <col min="5128" max="5128" width="10.6640625" style="26" customWidth="1"/>
    <col min="5129" max="5382" width="9.109375" style="26"/>
    <col min="5383" max="5383" width="9.5546875" style="26" bestFit="1" customWidth="1"/>
    <col min="5384" max="5384" width="10.6640625" style="26" customWidth="1"/>
    <col min="5385" max="5638" width="9.109375" style="26"/>
    <col min="5639" max="5639" width="9.5546875" style="26" bestFit="1" customWidth="1"/>
    <col min="5640" max="5640" width="10.6640625" style="26" customWidth="1"/>
    <col min="5641" max="5894" width="9.109375" style="26"/>
    <col min="5895" max="5895" width="9.5546875" style="26" bestFit="1" customWidth="1"/>
    <col min="5896" max="5896" width="10.6640625" style="26" customWidth="1"/>
    <col min="5897" max="6150" width="9.109375" style="26"/>
    <col min="6151" max="6151" width="9.5546875" style="26" bestFit="1" customWidth="1"/>
    <col min="6152" max="6152" width="10.6640625" style="26" customWidth="1"/>
    <col min="6153" max="6406" width="9.109375" style="26"/>
    <col min="6407" max="6407" width="9.5546875" style="26" bestFit="1" customWidth="1"/>
    <col min="6408" max="6408" width="10.6640625" style="26" customWidth="1"/>
    <col min="6409" max="6662" width="9.109375" style="26"/>
    <col min="6663" max="6663" width="9.5546875" style="26" bestFit="1" customWidth="1"/>
    <col min="6664" max="6664" width="10.6640625" style="26" customWidth="1"/>
    <col min="6665" max="6918" width="9.109375" style="26"/>
    <col min="6919" max="6919" width="9.5546875" style="26" bestFit="1" customWidth="1"/>
    <col min="6920" max="6920" width="10.6640625" style="26" customWidth="1"/>
    <col min="6921" max="7174" width="9.109375" style="26"/>
    <col min="7175" max="7175" width="9.5546875" style="26" bestFit="1" customWidth="1"/>
    <col min="7176" max="7176" width="10.6640625" style="26" customWidth="1"/>
    <col min="7177" max="7430" width="9.109375" style="26"/>
    <col min="7431" max="7431" width="9.5546875" style="26" bestFit="1" customWidth="1"/>
    <col min="7432" max="7432" width="10.6640625" style="26" customWidth="1"/>
    <col min="7433" max="7686" width="9.109375" style="26"/>
    <col min="7687" max="7687" width="9.5546875" style="26" bestFit="1" customWidth="1"/>
    <col min="7688" max="7688" width="10.6640625" style="26" customWidth="1"/>
    <col min="7689" max="7942" width="9.109375" style="26"/>
    <col min="7943" max="7943" width="9.5546875" style="26" bestFit="1" customWidth="1"/>
    <col min="7944" max="7944" width="10.6640625" style="26" customWidth="1"/>
    <col min="7945" max="8198" width="9.109375" style="26"/>
    <col min="8199" max="8199" width="9.5546875" style="26" bestFit="1" customWidth="1"/>
    <col min="8200" max="8200" width="10.6640625" style="26" customWidth="1"/>
    <col min="8201" max="8454" width="9.109375" style="26"/>
    <col min="8455" max="8455" width="9.5546875" style="26" bestFit="1" customWidth="1"/>
    <col min="8456" max="8456" width="10.6640625" style="26" customWidth="1"/>
    <col min="8457" max="8710" width="9.109375" style="26"/>
    <col min="8711" max="8711" width="9.5546875" style="26" bestFit="1" customWidth="1"/>
    <col min="8712" max="8712" width="10.6640625" style="26" customWidth="1"/>
    <col min="8713" max="8966" width="9.109375" style="26"/>
    <col min="8967" max="8967" width="9.5546875" style="26" bestFit="1" customWidth="1"/>
    <col min="8968" max="8968" width="10.6640625" style="26" customWidth="1"/>
    <col min="8969" max="9222" width="9.109375" style="26"/>
    <col min="9223" max="9223" width="9.5546875" style="26" bestFit="1" customWidth="1"/>
    <col min="9224" max="9224" width="10.6640625" style="26" customWidth="1"/>
    <col min="9225" max="9478" width="9.109375" style="26"/>
    <col min="9479" max="9479" width="9.5546875" style="26" bestFit="1" customWidth="1"/>
    <col min="9480" max="9480" width="10.6640625" style="26" customWidth="1"/>
    <col min="9481" max="9734" width="9.109375" style="26"/>
    <col min="9735" max="9735" width="9.5546875" style="26" bestFit="1" customWidth="1"/>
    <col min="9736" max="9736" width="10.6640625" style="26" customWidth="1"/>
    <col min="9737" max="9990" width="9.109375" style="26"/>
    <col min="9991" max="9991" width="9.5546875" style="26" bestFit="1" customWidth="1"/>
    <col min="9992" max="9992" width="10.6640625" style="26" customWidth="1"/>
    <col min="9993" max="10246" width="9.109375" style="26"/>
    <col min="10247" max="10247" width="9.5546875" style="26" bestFit="1" customWidth="1"/>
    <col min="10248" max="10248" width="10.6640625" style="26" customWidth="1"/>
    <col min="10249" max="10502" width="9.109375" style="26"/>
    <col min="10503" max="10503" width="9.5546875" style="26" bestFit="1" customWidth="1"/>
    <col min="10504" max="10504" width="10.6640625" style="26" customWidth="1"/>
    <col min="10505" max="10758" width="9.109375" style="26"/>
    <col min="10759" max="10759" width="9.5546875" style="26" bestFit="1" customWidth="1"/>
    <col min="10760" max="10760" width="10.6640625" style="26" customWidth="1"/>
    <col min="10761" max="11014" width="9.109375" style="26"/>
    <col min="11015" max="11015" width="9.5546875" style="26" bestFit="1" customWidth="1"/>
    <col min="11016" max="11016" width="10.6640625" style="26" customWidth="1"/>
    <col min="11017" max="11270" width="9.109375" style="26"/>
    <col min="11271" max="11271" width="9.5546875" style="26" bestFit="1" customWidth="1"/>
    <col min="11272" max="11272" width="10.6640625" style="26" customWidth="1"/>
    <col min="11273" max="11526" width="9.109375" style="26"/>
    <col min="11527" max="11527" width="9.5546875" style="26" bestFit="1" customWidth="1"/>
    <col min="11528" max="11528" width="10.6640625" style="26" customWidth="1"/>
    <col min="11529" max="11782" width="9.109375" style="26"/>
    <col min="11783" max="11783" width="9.5546875" style="26" bestFit="1" customWidth="1"/>
    <col min="11784" max="11784" width="10.6640625" style="26" customWidth="1"/>
    <col min="11785" max="12038" width="9.109375" style="26"/>
    <col min="12039" max="12039" width="9.5546875" style="26" bestFit="1" customWidth="1"/>
    <col min="12040" max="12040" width="10.6640625" style="26" customWidth="1"/>
    <col min="12041" max="12294" width="9.109375" style="26"/>
    <col min="12295" max="12295" width="9.5546875" style="26" bestFit="1" customWidth="1"/>
    <col min="12296" max="12296" width="10.6640625" style="26" customWidth="1"/>
    <col min="12297" max="12550" width="9.109375" style="26"/>
    <col min="12551" max="12551" width="9.5546875" style="26" bestFit="1" customWidth="1"/>
    <col min="12552" max="12552" width="10.6640625" style="26" customWidth="1"/>
    <col min="12553" max="12806" width="9.109375" style="26"/>
    <col min="12807" max="12807" width="9.5546875" style="26" bestFit="1" customWidth="1"/>
    <col min="12808" max="12808" width="10.6640625" style="26" customWidth="1"/>
    <col min="12809" max="13062" width="9.109375" style="26"/>
    <col min="13063" max="13063" width="9.5546875" style="26" bestFit="1" customWidth="1"/>
    <col min="13064" max="13064" width="10.6640625" style="26" customWidth="1"/>
    <col min="13065" max="13318" width="9.109375" style="26"/>
    <col min="13319" max="13319" width="9.5546875" style="26" bestFit="1" customWidth="1"/>
    <col min="13320" max="13320" width="10.6640625" style="26" customWidth="1"/>
    <col min="13321" max="13574" width="9.109375" style="26"/>
    <col min="13575" max="13575" width="9.5546875" style="26" bestFit="1" customWidth="1"/>
    <col min="13576" max="13576" width="10.6640625" style="26" customWidth="1"/>
    <col min="13577" max="13830" width="9.109375" style="26"/>
    <col min="13831" max="13831" width="9.5546875" style="26" bestFit="1" customWidth="1"/>
    <col min="13832" max="13832" width="10.6640625" style="26" customWidth="1"/>
    <col min="13833" max="14086" width="9.109375" style="26"/>
    <col min="14087" max="14087" width="9.5546875" style="26" bestFit="1" customWidth="1"/>
    <col min="14088" max="14088" width="10.6640625" style="26" customWidth="1"/>
    <col min="14089" max="14342" width="9.109375" style="26"/>
    <col min="14343" max="14343" width="9.5546875" style="26" bestFit="1" customWidth="1"/>
    <col min="14344" max="14344" width="10.6640625" style="26" customWidth="1"/>
    <col min="14345" max="14598" width="9.109375" style="26"/>
    <col min="14599" max="14599" width="9.5546875" style="26" bestFit="1" customWidth="1"/>
    <col min="14600" max="14600" width="10.6640625" style="26" customWidth="1"/>
    <col min="14601" max="14854" width="9.109375" style="26"/>
    <col min="14855" max="14855" width="9.5546875" style="26" bestFit="1" customWidth="1"/>
    <col min="14856" max="14856" width="10.6640625" style="26" customWidth="1"/>
    <col min="14857" max="15110" width="9.109375" style="26"/>
    <col min="15111" max="15111" width="9.5546875" style="26" bestFit="1" customWidth="1"/>
    <col min="15112" max="15112" width="10.6640625" style="26" customWidth="1"/>
    <col min="15113" max="15366" width="9.109375" style="26"/>
    <col min="15367" max="15367" width="9.5546875" style="26" bestFit="1" customWidth="1"/>
    <col min="15368" max="15368" width="10.6640625" style="26" customWidth="1"/>
    <col min="15369" max="15622" width="9.109375" style="26"/>
    <col min="15623" max="15623" width="9.5546875" style="26" bestFit="1" customWidth="1"/>
    <col min="15624" max="15624" width="10.6640625" style="26" customWidth="1"/>
    <col min="15625" max="15878" width="9.109375" style="26"/>
    <col min="15879" max="15879" width="9.5546875" style="26" bestFit="1" customWidth="1"/>
    <col min="15880" max="15880" width="10.6640625" style="26" customWidth="1"/>
    <col min="15881" max="16134" width="9.109375" style="26"/>
    <col min="16135" max="16135" width="9.5546875" style="26" bestFit="1" customWidth="1"/>
    <col min="16136" max="16136" width="10.6640625" style="26" customWidth="1"/>
    <col min="16137" max="16384" width="9.109375" style="26"/>
  </cols>
  <sheetData>
    <row r="1" spans="1:21" ht="13.8" thickBot="1" x14ac:dyDescent="0.3">
      <c r="A1" s="84" t="s">
        <v>276</v>
      </c>
      <c r="B1" s="275" t="s">
        <v>402</v>
      </c>
      <c r="C1" s="33">
        <f>Drives!BA13</f>
        <v>38490.017945975058</v>
      </c>
      <c r="D1" s="28" t="s">
        <v>7</v>
      </c>
      <c r="E1" s="300">
        <v>0</v>
      </c>
      <c r="F1" s="301">
        <f>MAX(0.1,E1+100/C1)</f>
        <v>0.1</v>
      </c>
      <c r="G1" s="36" t="s">
        <v>1</v>
      </c>
      <c r="H1" s="81">
        <f>J17</f>
        <v>0</v>
      </c>
      <c r="I1" s="54" t="s">
        <v>13</v>
      </c>
      <c r="J1" s="34">
        <f>Drives!Z13</f>
        <v>0</v>
      </c>
      <c r="K1" s="26" t="s">
        <v>84</v>
      </c>
      <c r="N1" s="256">
        <v>0.995</v>
      </c>
      <c r="O1" s="82" t="s">
        <v>176</v>
      </c>
      <c r="P1" s="333" t="s">
        <v>566</v>
      </c>
      <c r="Q1" s="82"/>
      <c r="R1" s="82"/>
      <c r="S1" s="82"/>
      <c r="T1" s="82"/>
      <c r="U1" s="82"/>
    </row>
    <row r="2" spans="1:21" x14ac:dyDescent="0.25">
      <c r="A2" s="272" t="s">
        <v>88</v>
      </c>
      <c r="B2" s="276">
        <v>13</v>
      </c>
      <c r="D2" s="26">
        <f>C4+1</f>
        <v>1</v>
      </c>
      <c r="E2" s="27">
        <f>F1-C3</f>
        <v>0</v>
      </c>
      <c r="J2" s="29">
        <f>0.8525*J1+0.151-0.0035</f>
        <v>0.14749999999999999</v>
      </c>
      <c r="K2" s="26" t="s">
        <v>60</v>
      </c>
      <c r="N2" s="82"/>
      <c r="O2" s="82"/>
      <c r="P2" s="82"/>
      <c r="Q2" s="82"/>
      <c r="R2" s="83"/>
      <c r="S2" s="82"/>
      <c r="T2" s="82"/>
      <c r="U2" s="82"/>
    </row>
    <row r="3" spans="1:21" ht="13.8" thickBot="1" x14ac:dyDescent="0.3">
      <c r="A3" s="43" t="s">
        <v>89</v>
      </c>
      <c r="C3" s="41">
        <f>HLOOKUP($F$1,$D$62:$U$113,(B3+1))</f>
        <v>0.1</v>
      </c>
      <c r="D3" s="41">
        <f>HLOOKUP($D$2,$D$61:$U$113,(B3+2))</f>
        <v>0.5</v>
      </c>
      <c r="E3" s="26">
        <f>D3-C3</f>
        <v>0.4</v>
      </c>
      <c r="F3" s="26">
        <f>IF(E3=0,1,E2/E3)</f>
        <v>0</v>
      </c>
      <c r="G3" s="32">
        <f>C3+(E3*F3)</f>
        <v>0.1</v>
      </c>
      <c r="J3" s="31"/>
      <c r="N3" s="82">
        <f>-SQRT(1-N1^2)</f>
        <v>-9.9874921777190678E-2</v>
      </c>
      <c r="O3" s="279" t="s">
        <v>565</v>
      </c>
      <c r="P3" s="279" t="s">
        <v>567</v>
      </c>
      <c r="Q3" s="82"/>
      <c r="R3" s="82"/>
      <c r="S3" s="82"/>
      <c r="T3" s="82"/>
      <c r="U3" s="82"/>
    </row>
    <row r="4" spans="1:21" ht="13.8" thickBot="1" x14ac:dyDescent="0.3">
      <c r="A4" s="43" t="s">
        <v>90</v>
      </c>
      <c r="B4" s="26">
        <v>1</v>
      </c>
      <c r="C4" s="36">
        <f t="shared" ref="C4:C53" si="0">HLOOKUP($F$1,$D$62:$U$113,(B4+1))</f>
        <v>0</v>
      </c>
      <c r="D4" s="36">
        <f t="shared" ref="D4:D53" si="1">HLOOKUP($D$2,$D$61:$U$113,(B4+2))</f>
        <v>1</v>
      </c>
      <c r="G4" s="27">
        <v>100</v>
      </c>
      <c r="H4" s="81">
        <f>J18</f>
        <v>0</v>
      </c>
      <c r="I4" s="26" t="s">
        <v>53</v>
      </c>
      <c r="J4" s="34">
        <f>Drives!X13</f>
        <v>0</v>
      </c>
      <c r="K4" s="54" t="s">
        <v>142</v>
      </c>
      <c r="N4" s="82"/>
      <c r="O4" s="310"/>
      <c r="P4" s="82"/>
      <c r="Q4" s="82"/>
      <c r="R4" s="82"/>
      <c r="S4" s="82"/>
      <c r="T4" s="82"/>
      <c r="U4" s="82"/>
    </row>
    <row r="5" spans="1:21" ht="13.8" thickBot="1" x14ac:dyDescent="0.3">
      <c r="A5" s="31"/>
      <c r="B5" s="26">
        <v>2</v>
      </c>
      <c r="C5" s="52">
        <f t="shared" si="0"/>
        <v>0.32933224115012466</v>
      </c>
      <c r="D5" s="52">
        <f t="shared" si="1"/>
        <v>0.31535428582675035</v>
      </c>
      <c r="E5" s="48">
        <f t="shared" ref="E5:E53" si="2">D5-C5</f>
        <v>-1.3977955323374314E-2</v>
      </c>
      <c r="F5" s="48">
        <f t="shared" ref="F5:F53" si="3">E5*$F$3</f>
        <v>0</v>
      </c>
      <c r="G5" s="48">
        <f t="shared" ref="G5:G53" si="4">C5+F5</f>
        <v>0.32933224115012466</v>
      </c>
      <c r="H5" s="30">
        <f>J$2*G5*H$1/100</f>
        <v>0</v>
      </c>
      <c r="J5" s="49">
        <f>Drives!Y13</f>
        <v>0</v>
      </c>
      <c r="K5" s="54" t="s">
        <v>143</v>
      </c>
      <c r="N5" s="82"/>
      <c r="O5" s="310"/>
      <c r="P5" s="82"/>
      <c r="Q5" s="82"/>
      <c r="R5" s="82"/>
      <c r="S5" s="82"/>
      <c r="T5" s="82"/>
      <c r="U5" s="82"/>
    </row>
    <row r="6" spans="1:21" ht="13.8" thickBot="1" x14ac:dyDescent="0.3">
      <c r="A6" s="273" t="s">
        <v>572</v>
      </c>
      <c r="B6" s="26">
        <v>3</v>
      </c>
      <c r="C6" s="52">
        <f t="shared" si="0"/>
        <v>4.5259585897054762E-2</v>
      </c>
      <c r="D6" s="52">
        <f t="shared" si="1"/>
        <v>4.3338618586310745E-2</v>
      </c>
      <c r="E6" s="48">
        <f t="shared" si="2"/>
        <v>-1.9209673107440164E-3</v>
      </c>
      <c r="F6" s="48">
        <f t="shared" si="3"/>
        <v>0</v>
      </c>
      <c r="G6" s="48">
        <f t="shared" si="4"/>
        <v>4.5259585897054762E-2</v>
      </c>
      <c r="H6" s="30">
        <f t="shared" ref="H6:H53" si="5">J$2*G6*H$1/100</f>
        <v>0</v>
      </c>
    </row>
    <row r="7" spans="1:21" ht="13.8" thickBot="1" x14ac:dyDescent="0.3">
      <c r="A7" s="270" t="s">
        <v>95</v>
      </c>
      <c r="B7" s="26">
        <v>4</v>
      </c>
      <c r="C7" s="52">
        <f t="shared" si="0"/>
        <v>0.29725792638351467</v>
      </c>
      <c r="D7" s="52">
        <f t="shared" si="1"/>
        <v>0.2846413116239121</v>
      </c>
      <c r="E7" s="48">
        <f t="shared" si="2"/>
        <v>-1.2616614759602574E-2</v>
      </c>
      <c r="F7" s="48">
        <f t="shared" si="3"/>
        <v>0</v>
      </c>
      <c r="G7" s="48">
        <f t="shared" si="4"/>
        <v>0.29725792638351467</v>
      </c>
      <c r="H7" s="30">
        <f t="shared" si="5"/>
        <v>0</v>
      </c>
      <c r="J7" s="34">
        <f>Instructions!E200</f>
        <v>-35</v>
      </c>
      <c r="K7" s="54" t="s">
        <v>144</v>
      </c>
      <c r="O7" s="311"/>
    </row>
    <row r="8" spans="1:21" x14ac:dyDescent="0.25">
      <c r="A8" s="54"/>
      <c r="B8" s="26">
        <v>5</v>
      </c>
      <c r="C8" s="52">
        <f t="shared" si="0"/>
        <v>5.2610233007368663</v>
      </c>
      <c r="D8" s="52">
        <f t="shared" si="1"/>
        <v>5.0377279792824163</v>
      </c>
      <c r="E8" s="48">
        <f t="shared" si="2"/>
        <v>-0.22329532145444997</v>
      </c>
      <c r="F8" s="48">
        <f t="shared" si="3"/>
        <v>0</v>
      </c>
      <c r="G8" s="48">
        <f t="shared" si="4"/>
        <v>5.2610233007368663</v>
      </c>
      <c r="H8" s="30">
        <f t="shared" si="5"/>
        <v>0</v>
      </c>
      <c r="J8" s="29">
        <f>J7*J4/100</f>
        <v>0</v>
      </c>
      <c r="K8" s="54" t="s">
        <v>409</v>
      </c>
      <c r="O8" s="311"/>
    </row>
    <row r="9" spans="1:21" x14ac:dyDescent="0.25">
      <c r="A9" s="54"/>
      <c r="B9" s="26">
        <v>6</v>
      </c>
      <c r="C9" s="52">
        <f t="shared" si="0"/>
        <v>2.0328554819921713E-2</v>
      </c>
      <c r="D9" s="52">
        <f t="shared" si="1"/>
        <v>1.9465743362199594E-2</v>
      </c>
      <c r="E9" s="48">
        <f t="shared" si="2"/>
        <v>-8.6281145772211867E-4</v>
      </c>
      <c r="F9" s="48">
        <f t="shared" si="3"/>
        <v>0</v>
      </c>
      <c r="G9" s="48">
        <f t="shared" si="4"/>
        <v>2.0328554819921713E-2</v>
      </c>
      <c r="H9" s="30">
        <f t="shared" si="5"/>
        <v>0</v>
      </c>
      <c r="J9" s="29"/>
      <c r="O9" s="311"/>
      <c r="P9" s="54"/>
    </row>
    <row r="10" spans="1:21" x14ac:dyDescent="0.25">
      <c r="B10" s="26">
        <v>7</v>
      </c>
      <c r="C10" s="52">
        <f t="shared" si="0"/>
        <v>3.7605023223959706</v>
      </c>
      <c r="D10" s="52">
        <f t="shared" si="1"/>
        <v>3.6008941004000707</v>
      </c>
      <c r="E10" s="48">
        <f t="shared" si="2"/>
        <v>-0.15960822199589986</v>
      </c>
      <c r="F10" s="48">
        <f t="shared" si="3"/>
        <v>0</v>
      </c>
      <c r="G10" s="48">
        <f t="shared" si="4"/>
        <v>3.7605023223959706</v>
      </c>
      <c r="H10" s="30">
        <f t="shared" si="5"/>
        <v>0</v>
      </c>
      <c r="J10" s="29">
        <f>J8</f>
        <v>0</v>
      </c>
      <c r="K10" s="54" t="s">
        <v>145</v>
      </c>
      <c r="O10" s="311"/>
      <c r="P10" s="54"/>
    </row>
    <row r="11" spans="1:21" ht="13.8" thickBot="1" x14ac:dyDescent="0.3">
      <c r="B11" s="26">
        <v>8</v>
      </c>
      <c r="C11" s="52">
        <f t="shared" si="0"/>
        <v>1.9663380542748566E-2</v>
      </c>
      <c r="D11" s="52">
        <f t="shared" si="1"/>
        <v>1.8828801293012256E-2</v>
      </c>
      <c r="E11" s="48">
        <f t="shared" si="2"/>
        <v>-8.3457924973630998E-4</v>
      </c>
      <c r="F11" s="48">
        <f t="shared" si="3"/>
        <v>0</v>
      </c>
      <c r="G11" s="48">
        <f t="shared" si="4"/>
        <v>1.9663380542748566E-2</v>
      </c>
      <c r="H11" s="30">
        <f t="shared" si="5"/>
        <v>0</v>
      </c>
      <c r="J11" s="29">
        <f>N3*J10</f>
        <v>0</v>
      </c>
      <c r="K11" s="54" t="s">
        <v>146</v>
      </c>
    </row>
    <row r="12" spans="1:21" ht="13.8" thickBot="1" x14ac:dyDescent="0.3">
      <c r="B12" s="26">
        <v>9</v>
      </c>
      <c r="C12" s="52">
        <f t="shared" si="0"/>
        <v>9.6150693119962296E-3</v>
      </c>
      <c r="D12" s="52">
        <f t="shared" si="1"/>
        <v>9.20697380089513E-3</v>
      </c>
      <c r="E12" s="48">
        <f t="shared" si="2"/>
        <v>-4.0809551110109962E-4</v>
      </c>
      <c r="F12" s="48">
        <f t="shared" si="3"/>
        <v>0</v>
      </c>
      <c r="G12" s="48">
        <f t="shared" si="4"/>
        <v>9.6150693119962296E-3</v>
      </c>
      <c r="H12" s="30">
        <f t="shared" si="5"/>
        <v>0</v>
      </c>
      <c r="J12" s="256">
        <f>J10-J1*(J10-J11)</f>
        <v>0</v>
      </c>
      <c r="K12" s="54" t="s">
        <v>147</v>
      </c>
      <c r="O12" s="275" t="s">
        <v>84</v>
      </c>
      <c r="P12" s="275" t="s">
        <v>482</v>
      </c>
      <c r="Q12" s="275" t="s">
        <v>570</v>
      </c>
      <c r="R12" s="275" t="s">
        <v>569</v>
      </c>
      <c r="S12" s="275" t="s">
        <v>571</v>
      </c>
    </row>
    <row r="13" spans="1:21" ht="13.8" thickBot="1" x14ac:dyDescent="0.3">
      <c r="B13" s="26">
        <v>10</v>
      </c>
      <c r="C13" s="52">
        <f t="shared" si="0"/>
        <v>5.413604338681214E-3</v>
      </c>
      <c r="D13" s="52">
        <f t="shared" si="1"/>
        <v>5.1838329706540643E-3</v>
      </c>
      <c r="E13" s="48">
        <f t="shared" si="2"/>
        <v>-2.297713680271497E-4</v>
      </c>
      <c r="F13" s="48">
        <f t="shared" si="3"/>
        <v>0</v>
      </c>
      <c r="G13" s="48">
        <f t="shared" si="4"/>
        <v>5.413604338681214E-3</v>
      </c>
      <c r="H13" s="30">
        <f t="shared" si="5"/>
        <v>0</v>
      </c>
      <c r="J13" s="29"/>
      <c r="O13" s="313">
        <v>1</v>
      </c>
      <c r="P13" s="313">
        <v>1</v>
      </c>
      <c r="Q13" s="312">
        <v>7.57</v>
      </c>
      <c r="R13" s="29">
        <v>1</v>
      </c>
      <c r="S13" s="48">
        <f>0.8525*O13+0.151-0.0035</f>
        <v>1</v>
      </c>
    </row>
    <row r="14" spans="1:21" ht="13.8" thickBot="1" x14ac:dyDescent="0.3">
      <c r="B14" s="26">
        <v>11</v>
      </c>
      <c r="C14" s="52">
        <f t="shared" si="0"/>
        <v>3.4945454457580891</v>
      </c>
      <c r="D14" s="52">
        <f t="shared" si="1"/>
        <v>3.3462253178965682</v>
      </c>
      <c r="E14" s="48">
        <f t="shared" si="2"/>
        <v>-0.14832012786152093</v>
      </c>
      <c r="F14" s="48">
        <f t="shared" si="3"/>
        <v>0</v>
      </c>
      <c r="G14" s="48">
        <f t="shared" si="4"/>
        <v>3.4945454457580891</v>
      </c>
      <c r="H14" s="30">
        <f t="shared" si="5"/>
        <v>0</v>
      </c>
      <c r="J14" s="34">
        <f>Drives!AN13</f>
        <v>0</v>
      </c>
      <c r="K14" s="54" t="s">
        <v>150</v>
      </c>
      <c r="L14" s="334" t="s">
        <v>568</v>
      </c>
      <c r="O14" s="313">
        <v>0.8</v>
      </c>
      <c r="P14" s="313">
        <v>1.06</v>
      </c>
      <c r="Q14" s="312">
        <f>P14*Q$13</f>
        <v>8.0242000000000004</v>
      </c>
      <c r="R14" s="26">
        <v>0.83899999999999997</v>
      </c>
      <c r="S14" s="48">
        <f t="shared" ref="S14:S17" si="6">0.8525*O14+0.151-0.0035</f>
        <v>0.82950000000000013</v>
      </c>
    </row>
    <row r="15" spans="1:21" x14ac:dyDescent="0.25">
      <c r="B15" s="26">
        <v>12</v>
      </c>
      <c r="C15" s="52">
        <f t="shared" si="0"/>
        <v>3.3849154065235818E-3</v>
      </c>
      <c r="D15" s="52">
        <f t="shared" si="1"/>
        <v>3.2412483420401496E-3</v>
      </c>
      <c r="E15" s="48">
        <f t="shared" si="2"/>
        <v>-1.4366706448343215E-4</v>
      </c>
      <c r="F15" s="48">
        <f t="shared" si="3"/>
        <v>0</v>
      </c>
      <c r="G15" s="48">
        <f t="shared" si="4"/>
        <v>3.3849154065235818E-3</v>
      </c>
      <c r="H15" s="30">
        <f t="shared" si="5"/>
        <v>0</v>
      </c>
      <c r="J15" s="29">
        <f>J1*J14</f>
        <v>0</v>
      </c>
      <c r="K15" s="54" t="s">
        <v>151</v>
      </c>
      <c r="O15" s="313">
        <v>0.6</v>
      </c>
      <c r="P15" s="313">
        <v>1.1040000000000001</v>
      </c>
      <c r="Q15" s="312">
        <f t="shared" ref="Q15:Q17" si="7">P15*Q$13</f>
        <v>8.3572800000000012</v>
      </c>
      <c r="R15" s="26">
        <v>0.66100000000000003</v>
      </c>
      <c r="S15" s="48">
        <f t="shared" si="6"/>
        <v>0.65900000000000003</v>
      </c>
    </row>
    <row r="16" spans="1:21" x14ac:dyDescent="0.25">
      <c r="B16" s="26">
        <v>13</v>
      </c>
      <c r="C16" s="52">
        <f t="shared" si="0"/>
        <v>2.2520654934124393</v>
      </c>
      <c r="D16" s="52">
        <f t="shared" si="1"/>
        <v>2.1564803458960671</v>
      </c>
      <c r="E16" s="48">
        <f t="shared" si="2"/>
        <v>-9.558514751637226E-2</v>
      </c>
      <c r="F16" s="48">
        <f t="shared" si="3"/>
        <v>0</v>
      </c>
      <c r="G16" s="48">
        <f t="shared" si="4"/>
        <v>2.2520654934124393</v>
      </c>
      <c r="H16" s="30">
        <f t="shared" si="5"/>
        <v>0</v>
      </c>
      <c r="O16" s="313">
        <v>0.4</v>
      </c>
      <c r="P16" s="313">
        <v>1.1319999999999999</v>
      </c>
      <c r="Q16" s="312">
        <f t="shared" si="7"/>
        <v>8.5692399999999989</v>
      </c>
      <c r="R16" s="26">
        <v>0.49099999999999999</v>
      </c>
      <c r="S16" s="48">
        <f t="shared" si="6"/>
        <v>0.48849999999999999</v>
      </c>
    </row>
    <row r="17" spans="2:19" x14ac:dyDescent="0.25">
      <c r="B17" s="26">
        <v>14</v>
      </c>
      <c r="C17" s="52">
        <f t="shared" si="0"/>
        <v>1.2003992296048918E-2</v>
      </c>
      <c r="D17" s="52">
        <f t="shared" si="1"/>
        <v>1.1494502950486134E-2</v>
      </c>
      <c r="E17" s="48">
        <f t="shared" si="2"/>
        <v>-5.0948934556278337E-4</v>
      </c>
      <c r="F17" s="48">
        <f t="shared" si="3"/>
        <v>0</v>
      </c>
      <c r="G17" s="48">
        <f t="shared" si="4"/>
        <v>1.2003992296048918E-2</v>
      </c>
      <c r="H17" s="30">
        <f t="shared" si="5"/>
        <v>0</v>
      </c>
      <c r="J17" s="277">
        <f>SQRT(SUMSQ(J11,J14))</f>
        <v>0</v>
      </c>
      <c r="K17" s="54" t="s">
        <v>149</v>
      </c>
      <c r="O17" s="313">
        <v>0.2</v>
      </c>
      <c r="P17" s="313">
        <v>1.1439999999999999</v>
      </c>
      <c r="Q17" s="312">
        <f t="shared" si="7"/>
        <v>8.6600799999999989</v>
      </c>
      <c r="S17" s="48">
        <f t="shared" si="6"/>
        <v>0.318</v>
      </c>
    </row>
    <row r="18" spans="2:19" x14ac:dyDescent="0.25">
      <c r="B18" s="26">
        <v>15</v>
      </c>
      <c r="C18" s="52">
        <f t="shared" si="0"/>
        <v>2.2368084049890326E-3</v>
      </c>
      <c r="D18" s="52">
        <f t="shared" si="1"/>
        <v>2.1418708190342082E-3</v>
      </c>
      <c r="E18" s="48">
        <f t="shared" si="2"/>
        <v>-9.4937585954824391E-5</v>
      </c>
      <c r="F18" s="48">
        <f t="shared" si="3"/>
        <v>0</v>
      </c>
      <c r="G18" s="48">
        <f t="shared" si="4"/>
        <v>2.2368084049890326E-3</v>
      </c>
      <c r="H18" s="30">
        <f t="shared" si="5"/>
        <v>0</v>
      </c>
      <c r="J18" s="277">
        <f>SQRT(SUMSQ(J12,J15))</f>
        <v>0</v>
      </c>
      <c r="K18" s="54" t="s">
        <v>148</v>
      </c>
    </row>
    <row r="19" spans="2:19" x14ac:dyDescent="0.25">
      <c r="B19" s="26">
        <v>16</v>
      </c>
      <c r="C19" s="52">
        <f t="shared" si="0"/>
        <v>1.0045803829833231E-2</v>
      </c>
      <c r="D19" s="52">
        <f t="shared" si="1"/>
        <v>9.6194265136299809E-3</v>
      </c>
      <c r="E19" s="48">
        <f t="shared" si="2"/>
        <v>-4.263773162032497E-4</v>
      </c>
      <c r="F19" s="48">
        <f t="shared" si="3"/>
        <v>0</v>
      </c>
      <c r="G19" s="48">
        <f t="shared" si="4"/>
        <v>1.0045803829833231E-2</v>
      </c>
      <c r="H19" s="30">
        <f t="shared" si="5"/>
        <v>0</v>
      </c>
    </row>
    <row r="20" spans="2:19" x14ac:dyDescent="0.25">
      <c r="B20" s="26">
        <v>17</v>
      </c>
      <c r="C20" s="52">
        <f t="shared" si="0"/>
        <v>1.1226094656127854</v>
      </c>
      <c r="D20" s="52">
        <f t="shared" si="1"/>
        <v>1.0749621872863988</v>
      </c>
      <c r="E20" s="48">
        <f t="shared" si="2"/>
        <v>-4.76472783263866E-2</v>
      </c>
      <c r="F20" s="48">
        <f t="shared" si="3"/>
        <v>0</v>
      </c>
      <c r="G20" s="48">
        <f t="shared" si="4"/>
        <v>1.1226094656127854</v>
      </c>
      <c r="H20" s="30">
        <f t="shared" si="5"/>
        <v>0</v>
      </c>
      <c r="J20" s="29">
        <f>H55</f>
        <v>0</v>
      </c>
      <c r="K20" s="54" t="s">
        <v>152</v>
      </c>
    </row>
    <row r="21" spans="2:19" x14ac:dyDescent="0.25">
      <c r="B21" s="26">
        <v>18</v>
      </c>
      <c r="C21" s="52">
        <f t="shared" si="0"/>
        <v>2.9975279448625292E-3</v>
      </c>
      <c r="D21" s="52">
        <f t="shared" si="1"/>
        <v>2.8703028922909078E-3</v>
      </c>
      <c r="E21" s="48">
        <f t="shared" si="2"/>
        <v>-1.2722505257162144E-4</v>
      </c>
      <c r="F21" s="48">
        <f t="shared" si="3"/>
        <v>0</v>
      </c>
      <c r="G21" s="48">
        <f t="shared" si="4"/>
        <v>2.9975279448625292E-3</v>
      </c>
      <c r="H21" s="30">
        <f t="shared" si="5"/>
        <v>0</v>
      </c>
      <c r="J21" s="29"/>
    </row>
    <row r="22" spans="2:19" x14ac:dyDescent="0.25">
      <c r="B22" s="26">
        <v>19</v>
      </c>
      <c r="C22" s="52">
        <f t="shared" si="0"/>
        <v>1.0548634848389891</v>
      </c>
      <c r="D22" s="52">
        <f t="shared" si="1"/>
        <v>1.0100915711877623</v>
      </c>
      <c r="E22" s="48">
        <f t="shared" si="2"/>
        <v>-4.4771913651226791E-2</v>
      </c>
      <c r="F22" s="48">
        <f t="shared" si="3"/>
        <v>0</v>
      </c>
      <c r="G22" s="48">
        <f t="shared" si="4"/>
        <v>1.0548634848389891</v>
      </c>
      <c r="H22" s="30">
        <f t="shared" si="5"/>
        <v>0</v>
      </c>
      <c r="J22" s="29">
        <f>H56</f>
        <v>0</v>
      </c>
      <c r="K22" s="54" t="s">
        <v>153</v>
      </c>
    </row>
    <row r="23" spans="2:19" x14ac:dyDescent="0.25">
      <c r="B23" s="26">
        <v>20</v>
      </c>
      <c r="C23" s="52">
        <f t="shared" si="0"/>
        <v>3.9537279671871609E-3</v>
      </c>
      <c r="D23" s="52">
        <f t="shared" si="1"/>
        <v>3.7859186063632214E-3</v>
      </c>
      <c r="E23" s="48">
        <f t="shared" si="2"/>
        <v>-1.678093608239394E-4</v>
      </c>
      <c r="F23" s="48">
        <f t="shared" si="3"/>
        <v>0</v>
      </c>
      <c r="G23" s="48">
        <f t="shared" si="4"/>
        <v>3.9537279671871609E-3</v>
      </c>
      <c r="H23" s="30">
        <f t="shared" si="5"/>
        <v>0</v>
      </c>
    </row>
    <row r="24" spans="2:19" x14ac:dyDescent="0.25">
      <c r="B24" s="26">
        <v>21</v>
      </c>
      <c r="C24" s="52">
        <f t="shared" si="0"/>
        <v>1.7776305987240223E-3</v>
      </c>
      <c r="D24" s="52">
        <f t="shared" si="1"/>
        <v>1.7021820456043753E-3</v>
      </c>
      <c r="E24" s="48">
        <f t="shared" si="2"/>
        <v>-7.5448553119646967E-5</v>
      </c>
      <c r="F24" s="48">
        <f t="shared" si="3"/>
        <v>0</v>
      </c>
      <c r="G24" s="48">
        <f t="shared" si="4"/>
        <v>1.7776305987240223E-3</v>
      </c>
      <c r="H24" s="30">
        <f t="shared" si="5"/>
        <v>0</v>
      </c>
      <c r="J24" s="32">
        <f>IF(J18=0,0,100*J20/J18)</f>
        <v>0</v>
      </c>
      <c r="K24" s="54" t="s">
        <v>154</v>
      </c>
    </row>
    <row r="25" spans="2:19" x14ac:dyDescent="0.25">
      <c r="B25" s="26">
        <v>22</v>
      </c>
      <c r="C25" s="52">
        <f t="shared" si="0"/>
        <v>6.0107835552342427E-3</v>
      </c>
      <c r="D25" s="52">
        <f t="shared" si="1"/>
        <v>5.7556659156732925E-3</v>
      </c>
      <c r="E25" s="48">
        <f t="shared" si="2"/>
        <v>-2.5511763956095022E-4</v>
      </c>
      <c r="F25" s="48">
        <f t="shared" si="3"/>
        <v>0</v>
      </c>
      <c r="G25" s="48">
        <f t="shared" si="4"/>
        <v>6.0107835552342427E-3</v>
      </c>
      <c r="H25" s="30">
        <f t="shared" si="5"/>
        <v>0</v>
      </c>
    </row>
    <row r="26" spans="2:19" x14ac:dyDescent="0.25">
      <c r="B26" s="26">
        <v>23</v>
      </c>
      <c r="C26" s="52">
        <f t="shared" si="0"/>
        <v>0.62976876382261859</v>
      </c>
      <c r="D26" s="52">
        <f t="shared" si="1"/>
        <v>0.60303928354450487</v>
      </c>
      <c r="E26" s="48">
        <f t="shared" si="2"/>
        <v>-2.6729480278113726E-2</v>
      </c>
      <c r="F26" s="48">
        <f t="shared" si="3"/>
        <v>0</v>
      </c>
      <c r="G26" s="48">
        <f t="shared" si="4"/>
        <v>0.62976876382261859</v>
      </c>
      <c r="H26" s="30">
        <f t="shared" si="5"/>
        <v>0</v>
      </c>
    </row>
    <row r="27" spans="2:19" x14ac:dyDescent="0.25">
      <c r="B27" s="26">
        <v>24</v>
      </c>
      <c r="C27" s="52">
        <f t="shared" si="0"/>
        <v>8.4786508236885832E-4</v>
      </c>
      <c r="D27" s="52">
        <f t="shared" si="1"/>
        <v>8.1187886917511701E-4</v>
      </c>
      <c r="E27" s="48">
        <f t="shared" si="2"/>
        <v>-3.5986213193741311E-5</v>
      </c>
      <c r="F27" s="48">
        <f t="shared" si="3"/>
        <v>0</v>
      </c>
      <c r="G27" s="48">
        <f t="shared" si="4"/>
        <v>8.4786508236885832E-4</v>
      </c>
      <c r="H27" s="30">
        <f t="shared" si="5"/>
        <v>0</v>
      </c>
    </row>
    <row r="28" spans="2:19" x14ac:dyDescent="0.25">
      <c r="B28" s="26">
        <v>25</v>
      </c>
      <c r="C28" s="52">
        <f t="shared" si="0"/>
        <v>0.50562930889481716</v>
      </c>
      <c r="D28" s="52">
        <f t="shared" si="1"/>
        <v>0.4841687198397096</v>
      </c>
      <c r="E28" s="48">
        <f t="shared" si="2"/>
        <v>-2.146058905510756E-2</v>
      </c>
      <c r="F28" s="48">
        <f t="shared" si="3"/>
        <v>0</v>
      </c>
      <c r="G28" s="48">
        <f t="shared" si="4"/>
        <v>0.50562930889481716</v>
      </c>
      <c r="H28" s="30">
        <f t="shared" si="5"/>
        <v>0</v>
      </c>
    </row>
    <row r="29" spans="2:19" x14ac:dyDescent="0.25">
      <c r="B29" s="26">
        <v>26</v>
      </c>
      <c r="C29" s="52">
        <f t="shared" si="0"/>
        <v>4.3441249874913218E-3</v>
      </c>
      <c r="D29" s="52">
        <f t="shared" si="1"/>
        <v>4.1597458790801657E-3</v>
      </c>
      <c r="E29" s="48">
        <f t="shared" si="2"/>
        <v>-1.8437910841115606E-4</v>
      </c>
      <c r="F29" s="48">
        <f t="shared" si="3"/>
        <v>0</v>
      </c>
      <c r="G29" s="48">
        <f t="shared" si="4"/>
        <v>4.3441249874913218E-3</v>
      </c>
      <c r="H29" s="30">
        <f t="shared" si="5"/>
        <v>0</v>
      </c>
    </row>
    <row r="30" spans="2:19" x14ac:dyDescent="0.25">
      <c r="B30" s="26">
        <v>27</v>
      </c>
      <c r="C30" s="52">
        <f t="shared" si="0"/>
        <v>1.6680713870593842E-3</v>
      </c>
      <c r="D30" s="52">
        <f t="shared" si="1"/>
        <v>1.5972728911602641E-3</v>
      </c>
      <c r="E30" s="48">
        <f t="shared" si="2"/>
        <v>-7.0798495899120116E-5</v>
      </c>
      <c r="F30" s="48">
        <f t="shared" si="3"/>
        <v>0</v>
      </c>
      <c r="G30" s="48">
        <f t="shared" si="4"/>
        <v>1.6680713870593842E-3</v>
      </c>
      <c r="H30" s="30">
        <f t="shared" si="5"/>
        <v>0</v>
      </c>
    </row>
    <row r="31" spans="2:19" x14ac:dyDescent="0.25">
      <c r="B31" s="26">
        <v>28</v>
      </c>
      <c r="C31" s="52">
        <f t="shared" si="0"/>
        <v>2.6593794744053248E-3</v>
      </c>
      <c r="D31" s="52">
        <f t="shared" si="1"/>
        <v>2.5465065672422775E-3</v>
      </c>
      <c r="E31" s="48">
        <f t="shared" si="2"/>
        <v>-1.1287290716304734E-4</v>
      </c>
      <c r="F31" s="48">
        <f t="shared" si="3"/>
        <v>0</v>
      </c>
      <c r="G31" s="48">
        <f t="shared" si="4"/>
        <v>2.6593794744053248E-3</v>
      </c>
      <c r="H31" s="30">
        <f t="shared" si="5"/>
        <v>0</v>
      </c>
    </row>
    <row r="32" spans="2:19" x14ac:dyDescent="0.25">
      <c r="B32" s="26">
        <v>29</v>
      </c>
      <c r="C32" s="52">
        <f t="shared" si="0"/>
        <v>0.45606825205169371</v>
      </c>
      <c r="D32" s="52">
        <f t="shared" si="1"/>
        <v>0.43671119903640138</v>
      </c>
      <c r="E32" s="48">
        <f t="shared" si="2"/>
        <v>-1.9357053015292336E-2</v>
      </c>
      <c r="F32" s="48">
        <f t="shared" si="3"/>
        <v>0</v>
      </c>
      <c r="G32" s="48">
        <f t="shared" si="4"/>
        <v>0.45606825205169371</v>
      </c>
      <c r="H32" s="30">
        <f t="shared" si="5"/>
        <v>0</v>
      </c>
    </row>
    <row r="33" spans="2:8" x14ac:dyDescent="0.25">
      <c r="B33" s="26">
        <v>30</v>
      </c>
      <c r="C33" s="52">
        <f t="shared" si="0"/>
        <v>1.3183735589566582E-3</v>
      </c>
      <c r="D33" s="52">
        <f t="shared" si="1"/>
        <v>1.2624174016054748E-3</v>
      </c>
      <c r="E33" s="48">
        <f t="shared" si="2"/>
        <v>-5.5956157351183316E-5</v>
      </c>
      <c r="F33" s="48">
        <f t="shared" si="3"/>
        <v>0</v>
      </c>
      <c r="G33" s="48">
        <f t="shared" si="4"/>
        <v>1.3183735589566582E-3</v>
      </c>
      <c r="H33" s="30">
        <f t="shared" si="5"/>
        <v>0</v>
      </c>
    </row>
    <row r="34" spans="2:8" x14ac:dyDescent="0.25">
      <c r="B34" s="26">
        <v>31</v>
      </c>
      <c r="C34" s="52">
        <f t="shared" si="0"/>
        <v>0.37522450205406943</v>
      </c>
      <c r="D34" s="52">
        <f t="shared" si="1"/>
        <v>0.3592987265890541</v>
      </c>
      <c r="E34" s="48">
        <f t="shared" si="2"/>
        <v>-1.5925775465015335E-2</v>
      </c>
      <c r="F34" s="48">
        <f t="shared" si="3"/>
        <v>0</v>
      </c>
      <c r="G34" s="48">
        <f t="shared" si="4"/>
        <v>0.37522450205406943</v>
      </c>
      <c r="H34" s="30">
        <f t="shared" si="5"/>
        <v>0</v>
      </c>
    </row>
    <row r="35" spans="2:8" x14ac:dyDescent="0.25">
      <c r="B35" s="26">
        <v>32</v>
      </c>
      <c r="C35" s="52">
        <f t="shared" si="0"/>
        <v>4.4424581385988397E-3</v>
      </c>
      <c r="D35" s="52">
        <f t="shared" si="1"/>
        <v>4.2539054443031452E-3</v>
      </c>
      <c r="E35" s="48">
        <f t="shared" si="2"/>
        <v>-1.8855269429569454E-4</v>
      </c>
      <c r="F35" s="48">
        <f t="shared" si="3"/>
        <v>0</v>
      </c>
      <c r="G35" s="48">
        <f t="shared" si="4"/>
        <v>4.4424581385988397E-3</v>
      </c>
      <c r="H35" s="30">
        <f t="shared" si="5"/>
        <v>0</v>
      </c>
    </row>
    <row r="36" spans="2:8" x14ac:dyDescent="0.25">
      <c r="B36" s="26">
        <v>33</v>
      </c>
      <c r="C36" s="52">
        <f t="shared" si="0"/>
        <v>3.9151474776729251E-4</v>
      </c>
      <c r="D36" s="52">
        <f t="shared" si="1"/>
        <v>3.7489756011016681E-4</v>
      </c>
      <c r="E36" s="48">
        <f t="shared" si="2"/>
        <v>-1.6617187657125699E-5</v>
      </c>
      <c r="F36" s="48">
        <f t="shared" si="3"/>
        <v>0</v>
      </c>
      <c r="G36" s="48">
        <f t="shared" si="4"/>
        <v>3.9151474776729251E-4</v>
      </c>
      <c r="H36" s="30">
        <f t="shared" si="5"/>
        <v>0</v>
      </c>
    </row>
    <row r="37" spans="2:8" x14ac:dyDescent="0.25">
      <c r="B37" s="26">
        <v>34</v>
      </c>
      <c r="C37" s="52">
        <f t="shared" si="0"/>
        <v>4.3908763413790649E-3</v>
      </c>
      <c r="D37" s="52">
        <f t="shared" si="1"/>
        <v>4.2045129500636056E-3</v>
      </c>
      <c r="E37" s="48">
        <f t="shared" si="2"/>
        <v>-1.8636339131545936E-4</v>
      </c>
      <c r="F37" s="48">
        <f t="shared" si="3"/>
        <v>0</v>
      </c>
      <c r="G37" s="48">
        <f t="shared" si="4"/>
        <v>4.3908763413790649E-3</v>
      </c>
      <c r="H37" s="30">
        <f t="shared" si="5"/>
        <v>0</v>
      </c>
    </row>
    <row r="38" spans="2:8" x14ac:dyDescent="0.25">
      <c r="B38" s="26">
        <v>35</v>
      </c>
      <c r="C38" s="52">
        <f t="shared" si="0"/>
        <v>0.28137093963309123</v>
      </c>
      <c r="D38" s="52">
        <f t="shared" si="1"/>
        <v>0.2694286214144071</v>
      </c>
      <c r="E38" s="48">
        <f t="shared" si="2"/>
        <v>-1.1942318218684134E-2</v>
      </c>
      <c r="F38" s="48">
        <f t="shared" si="3"/>
        <v>0</v>
      </c>
      <c r="G38" s="48">
        <f t="shared" si="4"/>
        <v>0.28137093963309123</v>
      </c>
      <c r="H38" s="30">
        <f t="shared" si="5"/>
        <v>0</v>
      </c>
    </row>
    <row r="39" spans="2:8" x14ac:dyDescent="0.25">
      <c r="B39" s="26">
        <v>36</v>
      </c>
      <c r="C39" s="52">
        <f t="shared" si="0"/>
        <v>1.0040096615005793E-3</v>
      </c>
      <c r="D39" s="52">
        <f t="shared" si="1"/>
        <v>9.613961531975949E-4</v>
      </c>
      <c r="E39" s="48">
        <f t="shared" si="2"/>
        <v>-4.2613508302984386E-5</v>
      </c>
      <c r="F39" s="48">
        <f t="shared" si="3"/>
        <v>0</v>
      </c>
      <c r="G39" s="48">
        <f t="shared" si="4"/>
        <v>1.0040096615005793E-3</v>
      </c>
      <c r="H39" s="30">
        <f t="shared" si="5"/>
        <v>0</v>
      </c>
    </row>
    <row r="40" spans="2:8" x14ac:dyDescent="0.25">
      <c r="B40" s="26">
        <v>37</v>
      </c>
      <c r="C40" s="52">
        <f t="shared" si="0"/>
        <v>0.27092015251503732</v>
      </c>
      <c r="D40" s="52">
        <f t="shared" si="1"/>
        <v>0.25942140044985246</v>
      </c>
      <c r="E40" s="48">
        <f t="shared" si="2"/>
        <v>-1.1498752065184858E-2</v>
      </c>
      <c r="F40" s="48">
        <f t="shared" si="3"/>
        <v>0</v>
      </c>
      <c r="G40" s="48">
        <f t="shared" si="4"/>
        <v>0.27092015251503732</v>
      </c>
      <c r="H40" s="30">
        <f t="shared" si="5"/>
        <v>0</v>
      </c>
    </row>
    <row r="41" spans="2:8" x14ac:dyDescent="0.25">
      <c r="B41" s="26">
        <v>38</v>
      </c>
      <c r="C41" s="52">
        <f t="shared" si="0"/>
        <v>1.8622727625131231E-3</v>
      </c>
      <c r="D41" s="52">
        <f t="shared" si="1"/>
        <v>1.7832317145324021E-3</v>
      </c>
      <c r="E41" s="48">
        <f t="shared" si="2"/>
        <v>-7.9041047980720923E-5</v>
      </c>
      <c r="F41" s="48">
        <f t="shared" si="3"/>
        <v>0</v>
      </c>
      <c r="G41" s="48">
        <f t="shared" si="4"/>
        <v>1.8622727625131231E-3</v>
      </c>
      <c r="H41" s="30">
        <f t="shared" si="5"/>
        <v>0</v>
      </c>
    </row>
    <row r="42" spans="2:8" x14ac:dyDescent="0.25">
      <c r="B42" s="26">
        <v>39</v>
      </c>
      <c r="C42" s="52">
        <f t="shared" si="0"/>
        <v>1.0570059255579811E-3</v>
      </c>
      <c r="D42" s="52">
        <f t="shared" si="1"/>
        <v>1.0121430795991598E-3</v>
      </c>
      <c r="E42" s="48">
        <f t="shared" si="2"/>
        <v>-4.4862845958821337E-5</v>
      </c>
      <c r="F42" s="48">
        <f t="shared" si="3"/>
        <v>0</v>
      </c>
      <c r="G42" s="48">
        <f t="shared" si="4"/>
        <v>1.0570059255579811E-3</v>
      </c>
      <c r="H42" s="30">
        <f t="shared" si="5"/>
        <v>0</v>
      </c>
    </row>
    <row r="43" spans="2:8" x14ac:dyDescent="0.25">
      <c r="B43" s="26">
        <v>40</v>
      </c>
      <c r="C43" s="52">
        <f t="shared" si="0"/>
        <v>2.5153513422795128E-3</v>
      </c>
      <c r="D43" s="52">
        <f t="shared" si="1"/>
        <v>2.4085914679283543E-3</v>
      </c>
      <c r="E43" s="48">
        <f t="shared" si="2"/>
        <v>-1.0675987435115842E-4</v>
      </c>
      <c r="F43" s="48">
        <f t="shared" si="3"/>
        <v>0</v>
      </c>
      <c r="G43" s="48">
        <f t="shared" si="4"/>
        <v>2.5153513422795128E-3</v>
      </c>
      <c r="H43" s="30">
        <f t="shared" si="5"/>
        <v>0</v>
      </c>
    </row>
    <row r="44" spans="2:8" x14ac:dyDescent="0.25">
      <c r="B44" s="26">
        <v>41</v>
      </c>
      <c r="C44" s="52">
        <f t="shared" si="0"/>
        <v>0.20191949245733634</v>
      </c>
      <c r="D44" s="52">
        <f t="shared" si="1"/>
        <v>0.19334935782784987</v>
      </c>
      <c r="E44" s="48">
        <f t="shared" si="2"/>
        <v>-8.57013462948647E-3</v>
      </c>
      <c r="F44" s="48">
        <f t="shared" si="3"/>
        <v>0</v>
      </c>
      <c r="G44" s="48">
        <f t="shared" si="4"/>
        <v>0.20191949245733634</v>
      </c>
      <c r="H44" s="30">
        <f t="shared" si="5"/>
        <v>0</v>
      </c>
    </row>
    <row r="45" spans="2:8" x14ac:dyDescent="0.25">
      <c r="B45" s="26">
        <v>42</v>
      </c>
      <c r="C45" s="52">
        <f t="shared" si="0"/>
        <v>3.8340122241814256E-4</v>
      </c>
      <c r="D45" s="52">
        <f t="shared" si="1"/>
        <v>3.671283997537957E-4</v>
      </c>
      <c r="E45" s="48">
        <f t="shared" si="2"/>
        <v>-1.6272822664346865E-5</v>
      </c>
      <c r="F45" s="48">
        <f t="shared" si="3"/>
        <v>0</v>
      </c>
      <c r="G45" s="48">
        <f t="shared" si="4"/>
        <v>3.8340122241814256E-4</v>
      </c>
      <c r="H45" s="30">
        <f t="shared" si="5"/>
        <v>0</v>
      </c>
    </row>
    <row r="46" spans="2:8" x14ac:dyDescent="0.25">
      <c r="B46" s="26">
        <v>43</v>
      </c>
      <c r="C46" s="52">
        <f t="shared" si="0"/>
        <v>0.17961384514704054</v>
      </c>
      <c r="D46" s="52">
        <f t="shared" si="1"/>
        <v>0.17199043635427569</v>
      </c>
      <c r="E46" s="48">
        <f t="shared" si="2"/>
        <v>-7.6234087927648519E-3</v>
      </c>
      <c r="F46" s="48">
        <f t="shared" si="3"/>
        <v>0</v>
      </c>
      <c r="G46" s="48">
        <f t="shared" si="4"/>
        <v>0.17961384514704054</v>
      </c>
      <c r="H46" s="30">
        <f t="shared" si="5"/>
        <v>0</v>
      </c>
    </row>
    <row r="47" spans="2:8" x14ac:dyDescent="0.25">
      <c r="B47" s="26">
        <v>44</v>
      </c>
      <c r="C47" s="52">
        <f t="shared" si="0"/>
        <v>2.9535913908984327E-3</v>
      </c>
      <c r="D47" s="52">
        <f t="shared" si="1"/>
        <v>2.8282311517633229E-3</v>
      </c>
      <c r="E47" s="48">
        <f t="shared" si="2"/>
        <v>-1.2536023913510986E-4</v>
      </c>
      <c r="F47" s="48">
        <f t="shared" si="3"/>
        <v>0</v>
      </c>
      <c r="G47" s="48">
        <f t="shared" si="4"/>
        <v>2.9535913908984327E-3</v>
      </c>
      <c r="H47" s="30">
        <f t="shared" si="5"/>
        <v>0</v>
      </c>
    </row>
    <row r="48" spans="2:8" x14ac:dyDescent="0.25">
      <c r="B48" s="26">
        <v>45</v>
      </c>
      <c r="C48" s="52">
        <f t="shared" si="0"/>
        <v>5.62414186424853E-4</v>
      </c>
      <c r="D48" s="52">
        <f t="shared" si="1"/>
        <v>5.385434583612288E-4</v>
      </c>
      <c r="E48" s="48">
        <f t="shared" si="2"/>
        <v>-2.38707280636242E-5</v>
      </c>
      <c r="F48" s="48">
        <f t="shared" si="3"/>
        <v>0</v>
      </c>
      <c r="G48" s="48">
        <f t="shared" si="4"/>
        <v>5.62414186424853E-4</v>
      </c>
      <c r="H48" s="30">
        <f t="shared" si="5"/>
        <v>0</v>
      </c>
    </row>
    <row r="49" spans="1:21" x14ac:dyDescent="0.25">
      <c r="B49" s="26">
        <v>46</v>
      </c>
      <c r="C49" s="52">
        <f t="shared" si="0"/>
        <v>2.2562469109391674E-3</v>
      </c>
      <c r="D49" s="52">
        <f t="shared" si="1"/>
        <v>2.1604842901600109E-3</v>
      </c>
      <c r="E49" s="48">
        <f t="shared" si="2"/>
        <v>-9.5762620779156482E-5</v>
      </c>
      <c r="F49" s="48">
        <f t="shared" si="3"/>
        <v>0</v>
      </c>
      <c r="G49" s="48">
        <f t="shared" si="4"/>
        <v>2.2562469109391674E-3</v>
      </c>
      <c r="H49" s="30">
        <f t="shared" si="5"/>
        <v>0</v>
      </c>
    </row>
    <row r="50" spans="1:21" x14ac:dyDescent="0.25">
      <c r="B50" s="26">
        <v>47</v>
      </c>
      <c r="C50" s="52">
        <f t="shared" si="0"/>
        <v>0.16909722628179949</v>
      </c>
      <c r="D50" s="52">
        <f t="shared" si="1"/>
        <v>0.16192017776077094</v>
      </c>
      <c r="E50" s="48">
        <f t="shared" si="2"/>
        <v>-7.1770485210285451E-3</v>
      </c>
      <c r="F50" s="48">
        <f t="shared" si="3"/>
        <v>0</v>
      </c>
      <c r="G50" s="48">
        <f t="shared" si="4"/>
        <v>0.16909722628179949</v>
      </c>
      <c r="H50" s="30">
        <f t="shared" si="5"/>
        <v>0</v>
      </c>
    </row>
    <row r="51" spans="1:21" x14ac:dyDescent="0.25">
      <c r="B51" s="26">
        <v>48</v>
      </c>
      <c r="C51" s="52">
        <f t="shared" si="0"/>
        <v>8.0287041423767705E-4</v>
      </c>
      <c r="D51" s="52">
        <f t="shared" si="1"/>
        <v>7.6879392436386121E-4</v>
      </c>
      <c r="E51" s="48">
        <f t="shared" si="2"/>
        <v>-3.4076489873815846E-5</v>
      </c>
      <c r="F51" s="48">
        <f t="shared" si="3"/>
        <v>0</v>
      </c>
      <c r="G51" s="48">
        <f t="shared" si="4"/>
        <v>8.0287041423767705E-4</v>
      </c>
      <c r="H51" s="30">
        <f t="shared" si="5"/>
        <v>0</v>
      </c>
    </row>
    <row r="52" spans="1:21" x14ac:dyDescent="0.25">
      <c r="B52" s="26">
        <v>49</v>
      </c>
      <c r="C52" s="52">
        <f t="shared" si="0"/>
        <v>0.14794140874690948</v>
      </c>
      <c r="D52" s="52">
        <f t="shared" si="1"/>
        <v>0.14166228346382276</v>
      </c>
      <c r="E52" s="48">
        <f t="shared" si="2"/>
        <v>-6.2791252830867172E-3</v>
      </c>
      <c r="F52" s="48">
        <f t="shared" si="3"/>
        <v>0</v>
      </c>
      <c r="G52" s="48">
        <f t="shared" si="4"/>
        <v>0.14794140874690948</v>
      </c>
      <c r="H52" s="30">
        <f t="shared" si="5"/>
        <v>0</v>
      </c>
    </row>
    <row r="53" spans="1:21" x14ac:dyDescent="0.25">
      <c r="B53" s="26">
        <v>50</v>
      </c>
      <c r="C53" s="52">
        <f t="shared" si="0"/>
        <v>2.2559399315124204E-3</v>
      </c>
      <c r="D53" s="52">
        <f t="shared" si="1"/>
        <v>2.1601903399608223E-3</v>
      </c>
      <c r="E53" s="48">
        <f t="shared" si="2"/>
        <v>-9.5749591551598078E-5</v>
      </c>
      <c r="F53" s="48">
        <f t="shared" si="3"/>
        <v>0</v>
      </c>
      <c r="G53" s="48">
        <f t="shared" si="4"/>
        <v>2.2559399315124204E-3</v>
      </c>
      <c r="H53" s="30">
        <f t="shared" si="5"/>
        <v>0</v>
      </c>
    </row>
    <row r="54" spans="1:21" x14ac:dyDescent="0.25">
      <c r="C54" s="52"/>
      <c r="D54" s="52"/>
    </row>
    <row r="55" spans="1:21" x14ac:dyDescent="0.25">
      <c r="F55" s="26" t="s">
        <v>85</v>
      </c>
      <c r="G55" s="29">
        <f>SQRT(SUMSQ(G5:G53))</f>
        <v>7.9343393760521677</v>
      </c>
      <c r="H55" s="29">
        <f>SQRT(SUMSQ(H5:H53))</f>
        <v>0</v>
      </c>
      <c r="I55" s="26" t="s">
        <v>52</v>
      </c>
    </row>
    <row r="56" spans="1:21" x14ac:dyDescent="0.25">
      <c r="F56" s="26" t="s">
        <v>86</v>
      </c>
      <c r="G56" s="29">
        <f>SQRT(SUMSQ(G4:G53))</f>
        <v>100.31427486322357</v>
      </c>
      <c r="H56" s="29">
        <f>SQRT(SUMSQ(H4:H53))</f>
        <v>0</v>
      </c>
      <c r="I56" s="26" t="s">
        <v>54</v>
      </c>
    </row>
    <row r="57" spans="1:21" x14ac:dyDescent="0.25">
      <c r="G57" s="26" t="s">
        <v>87</v>
      </c>
      <c r="H57" s="26" t="s">
        <v>13</v>
      </c>
    </row>
    <row r="59" spans="1:21" ht="14.4" x14ac:dyDescent="0.3">
      <c r="A59" s="25" t="s">
        <v>63</v>
      </c>
      <c r="C59"/>
      <c r="D59"/>
      <c r="E59"/>
      <c r="F59"/>
      <c r="G59"/>
      <c r="H59"/>
      <c r="I59"/>
      <c r="J59"/>
      <c r="K59"/>
      <c r="L59"/>
      <c r="M59"/>
      <c r="N59"/>
      <c r="O59"/>
      <c r="P59"/>
      <c r="Q59"/>
      <c r="R59"/>
      <c r="S59"/>
      <c r="T59"/>
      <c r="U59"/>
    </row>
    <row r="60" spans="1:21" ht="14.4" x14ac:dyDescent="0.3">
      <c r="C60" s="1" t="s">
        <v>478</v>
      </c>
      <c r="D60" s="7">
        <f>100/D62</f>
        <v>1000</v>
      </c>
      <c r="E60" s="7">
        <f t="shared" ref="E60:U60" si="8">100/E62</f>
        <v>200</v>
      </c>
      <c r="F60" s="7">
        <f t="shared" si="8"/>
        <v>100</v>
      </c>
      <c r="G60" s="7">
        <f t="shared" si="8"/>
        <v>50</v>
      </c>
      <c r="H60" s="7">
        <f t="shared" si="8"/>
        <v>33.333333333333336</v>
      </c>
      <c r="I60" s="7">
        <f t="shared" si="8"/>
        <v>25</v>
      </c>
      <c r="J60" s="7">
        <f t="shared" si="8"/>
        <v>20</v>
      </c>
      <c r="K60" s="7">
        <f t="shared" si="8"/>
        <v>16.666666666666668</v>
      </c>
      <c r="L60" s="7">
        <f t="shared" si="8"/>
        <v>14.285714285714286</v>
      </c>
      <c r="M60" s="7">
        <f t="shared" si="8"/>
        <v>12.5</v>
      </c>
      <c r="N60" s="7">
        <f t="shared" si="8"/>
        <v>10</v>
      </c>
      <c r="O60" s="7">
        <f t="shared" si="8"/>
        <v>8.3333333333333339</v>
      </c>
      <c r="P60" s="7">
        <f t="shared" si="8"/>
        <v>7.1428571428571432</v>
      </c>
      <c r="Q60" s="7">
        <f t="shared" si="8"/>
        <v>5.5555555555555554</v>
      </c>
      <c r="R60" s="7">
        <f t="shared" si="8"/>
        <v>4.7619047619047619</v>
      </c>
      <c r="S60" s="7">
        <f t="shared" si="8"/>
        <v>1</v>
      </c>
      <c r="T60" s="7">
        <f t="shared" si="8"/>
        <v>0.1</v>
      </c>
      <c r="U60" s="7">
        <f t="shared" si="8"/>
        <v>0.01</v>
      </c>
    </row>
    <row r="61" spans="1:21" ht="14.4" x14ac:dyDescent="0.3">
      <c r="C61" s="1" t="s">
        <v>64</v>
      </c>
      <c r="D61">
        <v>0</v>
      </c>
      <c r="E61">
        <v>1</v>
      </c>
      <c r="F61">
        <v>2</v>
      </c>
      <c r="G61">
        <v>3</v>
      </c>
      <c r="H61">
        <v>4</v>
      </c>
      <c r="I61">
        <v>5</v>
      </c>
      <c r="J61">
        <v>6</v>
      </c>
      <c r="K61">
        <v>7</v>
      </c>
      <c r="L61">
        <v>8</v>
      </c>
      <c r="M61">
        <v>9</v>
      </c>
      <c r="N61">
        <v>10</v>
      </c>
      <c r="O61">
        <v>11</v>
      </c>
      <c r="P61">
        <v>12</v>
      </c>
      <c r="Q61">
        <v>13</v>
      </c>
      <c r="R61">
        <v>14</v>
      </c>
      <c r="S61">
        <v>15</v>
      </c>
      <c r="T61">
        <v>16</v>
      </c>
      <c r="U61">
        <v>17</v>
      </c>
    </row>
    <row r="62" spans="1:21" ht="14.4" x14ac:dyDescent="0.3">
      <c r="A62" s="26" t="s">
        <v>65</v>
      </c>
      <c r="B62" s="54"/>
      <c r="C62" s="216" t="s">
        <v>1</v>
      </c>
      <c r="D62" s="296">
        <v>0.1</v>
      </c>
      <c r="E62" s="296">
        <v>0.5</v>
      </c>
      <c r="F62" s="296">
        <v>1</v>
      </c>
      <c r="G62" s="296">
        <v>2</v>
      </c>
      <c r="H62" s="296">
        <v>3</v>
      </c>
      <c r="I62" s="296">
        <v>4</v>
      </c>
      <c r="J62" s="296">
        <v>5</v>
      </c>
      <c r="K62" s="296">
        <v>6</v>
      </c>
      <c r="L62" s="296">
        <v>7</v>
      </c>
      <c r="M62" s="296">
        <v>8</v>
      </c>
      <c r="N62" s="296">
        <v>10</v>
      </c>
      <c r="O62" s="296">
        <v>12</v>
      </c>
      <c r="P62" s="296">
        <v>14</v>
      </c>
      <c r="Q62" s="296">
        <v>18</v>
      </c>
      <c r="R62" s="296">
        <v>21</v>
      </c>
      <c r="S62" s="296">
        <v>100</v>
      </c>
      <c r="T62" s="296">
        <v>1000</v>
      </c>
      <c r="U62" s="296">
        <v>10000</v>
      </c>
    </row>
    <row r="63" spans="1:21" ht="14.4" x14ac:dyDescent="0.3">
      <c r="A63" s="31"/>
      <c r="C63" s="1" t="s">
        <v>64</v>
      </c>
      <c r="D63">
        <v>0</v>
      </c>
      <c r="E63">
        <v>1</v>
      </c>
      <c r="F63">
        <v>2</v>
      </c>
      <c r="G63">
        <v>3</v>
      </c>
      <c r="H63">
        <v>4</v>
      </c>
      <c r="I63">
        <v>5</v>
      </c>
      <c r="J63">
        <v>6</v>
      </c>
      <c r="K63">
        <v>7</v>
      </c>
      <c r="L63">
        <v>8</v>
      </c>
      <c r="M63">
        <v>9</v>
      </c>
      <c r="N63">
        <v>10</v>
      </c>
      <c r="O63">
        <v>11</v>
      </c>
      <c r="P63">
        <v>12</v>
      </c>
      <c r="Q63">
        <v>13</v>
      </c>
      <c r="R63">
        <v>14</v>
      </c>
      <c r="S63">
        <v>15</v>
      </c>
      <c r="T63">
        <v>16</v>
      </c>
      <c r="U63">
        <v>17</v>
      </c>
    </row>
    <row r="64" spans="1:21" ht="14.4" x14ac:dyDescent="0.3">
      <c r="A64" s="43">
        <v>2</v>
      </c>
      <c r="B64" s="43"/>
      <c r="C64"/>
      <c r="D64" s="298">
        <v>0.32933224115012466</v>
      </c>
      <c r="E64" s="298">
        <v>0.31535428582675035</v>
      </c>
      <c r="F64" s="298">
        <v>0.30141780811561159</v>
      </c>
      <c r="G64" s="298">
        <v>0.28743985279223727</v>
      </c>
      <c r="H64" s="298">
        <v>0.28619552442517132</v>
      </c>
      <c r="I64" s="298">
        <v>0.28619552442517132</v>
      </c>
      <c r="J64" s="298">
        <v>0.28619552442517132</v>
      </c>
      <c r="K64" s="298">
        <v>0.28619552442517132</v>
      </c>
      <c r="L64" s="298">
        <v>0.28619552442517132</v>
      </c>
      <c r="M64" s="298">
        <v>0.28619552442517132</v>
      </c>
      <c r="N64" s="298">
        <v>0.28619552442517132</v>
      </c>
      <c r="O64" s="298">
        <v>0.28619552442517132</v>
      </c>
      <c r="P64" s="298">
        <v>0.28619552442517132</v>
      </c>
      <c r="Q64" s="298">
        <v>0.28619552442517132</v>
      </c>
      <c r="R64" s="298">
        <v>0.28619552442517132</v>
      </c>
      <c r="S64" s="298">
        <v>0.28619552442517132</v>
      </c>
      <c r="T64" s="298">
        <v>0.28619552442517132</v>
      </c>
      <c r="U64" s="298">
        <v>0.28619552442517132</v>
      </c>
    </row>
    <row r="65" spans="1:21" ht="14.4" x14ac:dyDescent="0.3">
      <c r="A65" s="43">
        <v>3</v>
      </c>
      <c r="B65" s="43"/>
      <c r="C65"/>
      <c r="D65" s="298">
        <v>4.5259585897054762E-2</v>
      </c>
      <c r="E65" s="298">
        <v>4.3338618586310745E-2</v>
      </c>
      <c r="F65" s="298">
        <v>4.1423351475301885E-2</v>
      </c>
      <c r="G65" s="298">
        <v>3.9502384164557869E-2</v>
      </c>
      <c r="H65" s="298">
        <v>3.9331378172503512E-2</v>
      </c>
      <c r="I65" s="298">
        <v>3.9331378172503512E-2</v>
      </c>
      <c r="J65" s="298">
        <v>3.9331378172503512E-2</v>
      </c>
      <c r="K65" s="298">
        <v>3.9331378172503512E-2</v>
      </c>
      <c r="L65" s="298">
        <v>3.9331378172503512E-2</v>
      </c>
      <c r="M65" s="298">
        <v>3.9331378172503512E-2</v>
      </c>
      <c r="N65" s="298">
        <v>3.9331378172503512E-2</v>
      </c>
      <c r="O65" s="298">
        <v>3.9331378172503512E-2</v>
      </c>
      <c r="P65" s="298">
        <v>3.9331378172503512E-2</v>
      </c>
      <c r="Q65" s="298">
        <v>3.9331378172503512E-2</v>
      </c>
      <c r="R65" s="298">
        <v>3.9331378172503512E-2</v>
      </c>
      <c r="S65" s="298">
        <v>3.9331378172503512E-2</v>
      </c>
      <c r="T65" s="298">
        <v>3.9331378172503512E-2</v>
      </c>
      <c r="U65" s="298">
        <v>3.9331378172503512E-2</v>
      </c>
    </row>
    <row r="66" spans="1:21" ht="14.4" x14ac:dyDescent="0.3">
      <c r="A66" s="43">
        <v>4</v>
      </c>
      <c r="B66" s="43"/>
      <c r="C66"/>
      <c r="D66" s="298">
        <v>0.29725792638351467</v>
      </c>
      <c r="E66" s="298">
        <v>0.2846413116239121</v>
      </c>
      <c r="F66" s="298">
        <v>0.27206213489030245</v>
      </c>
      <c r="G66" s="298">
        <v>0.25944552013069982</v>
      </c>
      <c r="H66" s="298">
        <v>0.25832237935091329</v>
      </c>
      <c r="I66" s="298">
        <v>0.25832237935091329</v>
      </c>
      <c r="J66" s="298">
        <v>0.25832237935091329</v>
      </c>
      <c r="K66" s="298">
        <v>0.25832237935091329</v>
      </c>
      <c r="L66" s="298">
        <v>0.25832237935091329</v>
      </c>
      <c r="M66" s="298">
        <v>0.25832237935091329</v>
      </c>
      <c r="N66" s="298">
        <v>0.25832237935091329</v>
      </c>
      <c r="O66" s="298">
        <v>0.25832237935091329</v>
      </c>
      <c r="P66" s="298">
        <v>0.25832237935091329</v>
      </c>
      <c r="Q66" s="298">
        <v>0.25832237935091329</v>
      </c>
      <c r="R66" s="298">
        <v>0.25832237935091329</v>
      </c>
      <c r="S66" s="298">
        <v>0.25832237935091329</v>
      </c>
      <c r="T66" s="298">
        <v>0.25832237935091329</v>
      </c>
      <c r="U66" s="298">
        <v>0.25832237935091329</v>
      </c>
    </row>
    <row r="67" spans="1:21" ht="14.4" x14ac:dyDescent="0.3">
      <c r="A67" s="43">
        <v>5</v>
      </c>
      <c r="B67" s="43"/>
      <c r="C67"/>
      <c r="D67" s="298">
        <v>5.2610233007368663</v>
      </c>
      <c r="E67" s="298">
        <v>5.0377279792824163</v>
      </c>
      <c r="F67" s="298">
        <v>4.8150952552210082</v>
      </c>
      <c r="G67" s="298">
        <v>4.5917999337665591</v>
      </c>
      <c r="H67" s="298">
        <v>4.5719220119753627</v>
      </c>
      <c r="I67" s="298">
        <v>4.5719220119753627</v>
      </c>
      <c r="J67" s="298">
        <v>4.5719220119753627</v>
      </c>
      <c r="K67" s="298">
        <v>4.5719220119753627</v>
      </c>
      <c r="L67" s="298">
        <v>4.5719220119753627</v>
      </c>
      <c r="M67" s="298">
        <v>4.5719220119753627</v>
      </c>
      <c r="N67" s="298">
        <v>4.5719220119753627</v>
      </c>
      <c r="O67" s="298">
        <v>4.5719220119753627</v>
      </c>
      <c r="P67" s="298">
        <v>4.5719220119753627</v>
      </c>
      <c r="Q67" s="298">
        <v>4.5719220119753627</v>
      </c>
      <c r="R67" s="298">
        <v>4.5719220119753627</v>
      </c>
      <c r="S67" s="298">
        <v>4.5719220119753627</v>
      </c>
      <c r="T67" s="298">
        <v>4.5719220119753627</v>
      </c>
      <c r="U67" s="298">
        <v>4.5719220119753627</v>
      </c>
    </row>
    <row r="68" spans="1:21" ht="14.4" x14ac:dyDescent="0.3">
      <c r="A68" s="43">
        <v>6</v>
      </c>
      <c r="B68" s="43"/>
      <c r="C68"/>
      <c r="D68" s="298">
        <v>2.0328554819921713E-2</v>
      </c>
      <c r="E68" s="298">
        <v>1.9465743362199594E-2</v>
      </c>
      <c r="F68" s="298">
        <v>1.8605492175865379E-2</v>
      </c>
      <c r="G68" s="298">
        <v>1.7742680718143257E-2</v>
      </c>
      <c r="H68" s="298">
        <v>1.7665872576506276E-2</v>
      </c>
      <c r="I68" s="298">
        <v>1.7665872576506276E-2</v>
      </c>
      <c r="J68" s="298">
        <v>1.7665872576506276E-2</v>
      </c>
      <c r="K68" s="298">
        <v>1.7665872576506276E-2</v>
      </c>
      <c r="L68" s="298">
        <v>1.7665872576506276E-2</v>
      </c>
      <c r="M68" s="298">
        <v>1.7665872576506276E-2</v>
      </c>
      <c r="N68" s="298">
        <v>1.7665872576506276E-2</v>
      </c>
      <c r="O68" s="298">
        <v>1.7665872576506276E-2</v>
      </c>
      <c r="P68" s="298">
        <v>1.7665872576506276E-2</v>
      </c>
      <c r="Q68" s="298">
        <v>1.7665872576506276E-2</v>
      </c>
      <c r="R68" s="298">
        <v>1.7665872576506276E-2</v>
      </c>
      <c r="S68" s="298">
        <v>1.7665872576506276E-2</v>
      </c>
      <c r="T68" s="298">
        <v>1.7665872576506276E-2</v>
      </c>
      <c r="U68" s="298">
        <v>1.7665872576506276E-2</v>
      </c>
    </row>
    <row r="69" spans="1:21" ht="14.4" x14ac:dyDescent="0.3">
      <c r="A69" s="43">
        <v>7</v>
      </c>
      <c r="B69" s="43"/>
      <c r="C69"/>
      <c r="D69" s="298">
        <v>3.7605023223959706</v>
      </c>
      <c r="E69" s="298">
        <v>3.6008941004000707</v>
      </c>
      <c r="F69" s="298">
        <v>3.441759493306237</v>
      </c>
      <c r="G69" s="298">
        <v>3.2821512713103371</v>
      </c>
      <c r="H69" s="298">
        <v>3.2679428242483879</v>
      </c>
      <c r="I69" s="298">
        <v>3.2679428242483879</v>
      </c>
      <c r="J69" s="298">
        <v>3.2679428242483879</v>
      </c>
      <c r="K69" s="298">
        <v>3.2679428242483879</v>
      </c>
      <c r="L69" s="298">
        <v>3.2679428242483879</v>
      </c>
      <c r="M69" s="298">
        <v>3.2679428242483879</v>
      </c>
      <c r="N69" s="298">
        <v>3.2679428242483879</v>
      </c>
      <c r="O69" s="298">
        <v>3.2679428242483879</v>
      </c>
      <c r="P69" s="298">
        <v>3.2679428242483879</v>
      </c>
      <c r="Q69" s="298">
        <v>3.2679428242483879</v>
      </c>
      <c r="R69" s="298">
        <v>3.2679428242483879</v>
      </c>
      <c r="S69" s="298">
        <v>3.2679428242483879</v>
      </c>
      <c r="T69" s="298">
        <v>3.2679428242483879</v>
      </c>
      <c r="U69" s="298">
        <v>3.2679428242483879</v>
      </c>
    </row>
    <row r="70" spans="1:21" ht="14.4" x14ac:dyDescent="0.3">
      <c r="A70" s="43">
        <v>8</v>
      </c>
      <c r="B70" s="43"/>
      <c r="C70"/>
      <c r="D70" s="298">
        <v>1.9663380542748566E-2</v>
      </c>
      <c r="E70" s="298">
        <v>1.8828801293012256E-2</v>
      </c>
      <c r="F70" s="298">
        <v>1.7996698539565974E-2</v>
      </c>
      <c r="G70" s="298">
        <v>1.7162119289829664E-2</v>
      </c>
      <c r="H70" s="298">
        <v>1.7087824401129107E-2</v>
      </c>
      <c r="I70" s="298">
        <v>1.7087824401129107E-2</v>
      </c>
      <c r="J70" s="298">
        <v>1.7087824401129107E-2</v>
      </c>
      <c r="K70" s="298">
        <v>1.7087824401129107E-2</v>
      </c>
      <c r="L70" s="298">
        <v>1.7087824401129107E-2</v>
      </c>
      <c r="M70" s="298">
        <v>1.7087824401129107E-2</v>
      </c>
      <c r="N70" s="298">
        <v>1.7087824401129107E-2</v>
      </c>
      <c r="O70" s="298">
        <v>1.7087824401129107E-2</v>
      </c>
      <c r="P70" s="298">
        <v>1.7087824401129107E-2</v>
      </c>
      <c r="Q70" s="298">
        <v>1.7087824401129107E-2</v>
      </c>
      <c r="R70" s="298">
        <v>1.7087824401129107E-2</v>
      </c>
      <c r="S70" s="298">
        <v>1.7087824401129107E-2</v>
      </c>
      <c r="T70" s="298">
        <v>1.7087824401129107E-2</v>
      </c>
      <c r="U70" s="298">
        <v>1.7087824401129107E-2</v>
      </c>
    </row>
    <row r="71" spans="1:21" ht="14.4" x14ac:dyDescent="0.3">
      <c r="A71" s="43">
        <v>9</v>
      </c>
      <c r="B71" s="43"/>
      <c r="C71"/>
      <c r="D71" s="298">
        <v>9.6150693119962296E-3</v>
      </c>
      <c r="E71" s="298">
        <v>9.20697380089513E-3</v>
      </c>
      <c r="F71" s="298">
        <v>8.8000892557023435E-3</v>
      </c>
      <c r="G71" s="298">
        <v>8.3919937446012421E-3</v>
      </c>
      <c r="H71" s="298">
        <v>8.3556647673518874E-3</v>
      </c>
      <c r="I71" s="298">
        <v>8.3556647673518874E-3</v>
      </c>
      <c r="J71" s="298">
        <v>8.3556647673518874E-3</v>
      </c>
      <c r="K71" s="298">
        <v>8.3556647673518874E-3</v>
      </c>
      <c r="L71" s="298">
        <v>8.3556647673518874E-3</v>
      </c>
      <c r="M71" s="298">
        <v>8.3556647673518874E-3</v>
      </c>
      <c r="N71" s="298">
        <v>8.3556647673518874E-3</v>
      </c>
      <c r="O71" s="298">
        <v>8.3556647673518874E-3</v>
      </c>
      <c r="P71" s="298">
        <v>8.3556647673518874E-3</v>
      </c>
      <c r="Q71" s="298">
        <v>8.3556647673518874E-3</v>
      </c>
      <c r="R71" s="298">
        <v>8.3556647673518874E-3</v>
      </c>
      <c r="S71" s="298">
        <v>8.3556647673518874E-3</v>
      </c>
      <c r="T71" s="298">
        <v>8.3556647673518874E-3</v>
      </c>
      <c r="U71" s="298">
        <v>8.3556647673518874E-3</v>
      </c>
    </row>
    <row r="72" spans="1:21" ht="14.4" x14ac:dyDescent="0.3">
      <c r="A72" s="43">
        <v>10</v>
      </c>
      <c r="B72" s="43"/>
      <c r="C72"/>
      <c r="D72" s="298">
        <v>5.413604338681214E-3</v>
      </c>
      <c r="E72" s="298">
        <v>5.1838329706540643E-3</v>
      </c>
      <c r="F72" s="298">
        <v>4.9547434167753635E-3</v>
      </c>
      <c r="G72" s="298">
        <v>4.724972048748213E-3</v>
      </c>
      <c r="H72" s="298">
        <v>4.7045176242947583E-3</v>
      </c>
      <c r="I72" s="298">
        <v>4.7045176242947583E-3</v>
      </c>
      <c r="J72" s="298">
        <v>4.7045176242947583E-3</v>
      </c>
      <c r="K72" s="298">
        <v>4.7045176242947583E-3</v>
      </c>
      <c r="L72" s="298">
        <v>4.7045176242947583E-3</v>
      </c>
      <c r="M72" s="298">
        <v>4.7045176242947583E-3</v>
      </c>
      <c r="N72" s="298">
        <v>4.7045176242947583E-3</v>
      </c>
      <c r="O72" s="298">
        <v>4.7045176242947583E-3</v>
      </c>
      <c r="P72" s="298">
        <v>4.7045176242947583E-3</v>
      </c>
      <c r="Q72" s="298">
        <v>4.7045176242947583E-3</v>
      </c>
      <c r="R72" s="298">
        <v>4.7045176242947583E-3</v>
      </c>
      <c r="S72" s="298">
        <v>4.7045176242947583E-3</v>
      </c>
      <c r="T72" s="298">
        <v>4.7045176242947583E-3</v>
      </c>
      <c r="U72" s="298">
        <v>4.7045176242947583E-3</v>
      </c>
    </row>
    <row r="73" spans="1:21" ht="14.4" x14ac:dyDescent="0.3">
      <c r="A73" s="43">
        <v>11</v>
      </c>
      <c r="B73" s="43"/>
      <c r="C73"/>
      <c r="D73" s="298">
        <v>3.4945454457580891</v>
      </c>
      <c r="E73" s="298">
        <v>3.3462253178965682</v>
      </c>
      <c r="F73" s="298">
        <v>3.1983453091088205</v>
      </c>
      <c r="G73" s="298">
        <v>3.0500251812472992</v>
      </c>
      <c r="H73" s="298">
        <v>3.0368216090341078</v>
      </c>
      <c r="I73" s="298">
        <v>3.0368216090341078</v>
      </c>
      <c r="J73" s="298">
        <v>3.0368216090341078</v>
      </c>
      <c r="K73" s="298">
        <v>3.0368216090341078</v>
      </c>
      <c r="L73" s="298">
        <v>3.0368216090341078</v>
      </c>
      <c r="M73" s="298">
        <v>3.0368216090341078</v>
      </c>
      <c r="N73" s="298">
        <v>3.0368216090341078</v>
      </c>
      <c r="O73" s="298">
        <v>3.0368216090341078</v>
      </c>
      <c r="P73" s="298">
        <v>3.0368216090341078</v>
      </c>
      <c r="Q73" s="298">
        <v>3.0368216090341078</v>
      </c>
      <c r="R73" s="298">
        <v>3.0368216090341078</v>
      </c>
      <c r="S73" s="298">
        <v>3.0368216090341078</v>
      </c>
      <c r="T73" s="298">
        <v>3.0368216090341078</v>
      </c>
      <c r="U73" s="298">
        <v>3.0368216090341078</v>
      </c>
    </row>
    <row r="74" spans="1:21" ht="14.4" x14ac:dyDescent="0.3">
      <c r="A74" s="43">
        <v>12</v>
      </c>
      <c r="B74" s="43"/>
      <c r="C74"/>
      <c r="D74" s="298">
        <v>3.3849154065235818E-3</v>
      </c>
      <c r="E74" s="298">
        <v>3.2412483420401496E-3</v>
      </c>
      <c r="F74" s="298">
        <v>3.0980075893207643E-3</v>
      </c>
      <c r="G74" s="298">
        <v>2.9543405248373326E-3</v>
      </c>
      <c r="H74" s="298">
        <v>2.941551171915959E-3</v>
      </c>
      <c r="I74" s="298">
        <v>2.941551171915959E-3</v>
      </c>
      <c r="J74" s="298">
        <v>2.941551171915959E-3</v>
      </c>
      <c r="K74" s="298">
        <v>2.941551171915959E-3</v>
      </c>
      <c r="L74" s="298">
        <v>2.941551171915959E-3</v>
      </c>
      <c r="M74" s="298">
        <v>2.941551171915959E-3</v>
      </c>
      <c r="N74" s="298">
        <v>2.941551171915959E-3</v>
      </c>
      <c r="O74" s="298">
        <v>2.941551171915959E-3</v>
      </c>
      <c r="P74" s="298">
        <v>2.941551171915959E-3</v>
      </c>
      <c r="Q74" s="298">
        <v>2.941551171915959E-3</v>
      </c>
      <c r="R74" s="298">
        <v>2.941551171915959E-3</v>
      </c>
      <c r="S74" s="298">
        <v>2.941551171915959E-3</v>
      </c>
      <c r="T74" s="298">
        <v>2.941551171915959E-3</v>
      </c>
      <c r="U74" s="298">
        <v>2.941551171915959E-3</v>
      </c>
    </row>
    <row r="75" spans="1:21" ht="14.4" x14ac:dyDescent="0.3">
      <c r="A75" s="43">
        <v>13</v>
      </c>
      <c r="B75" s="43"/>
      <c r="C75"/>
      <c r="D75" s="298">
        <v>2.2520654934124393</v>
      </c>
      <c r="E75" s="298">
        <v>2.1564803458960671</v>
      </c>
      <c r="F75" s="298">
        <v>2.0611788338322663</v>
      </c>
      <c r="G75" s="298">
        <v>1.9655936863158945</v>
      </c>
      <c r="H75" s="298">
        <v>1.9570846227387695</v>
      </c>
      <c r="I75" s="298">
        <v>1.9570846227387695</v>
      </c>
      <c r="J75" s="298">
        <v>1.9570846227387695</v>
      </c>
      <c r="K75" s="298">
        <v>1.9570846227387695</v>
      </c>
      <c r="L75" s="298">
        <v>1.9570846227387695</v>
      </c>
      <c r="M75" s="298">
        <v>1.9570846227387695</v>
      </c>
      <c r="N75" s="298">
        <v>1.9570846227387695</v>
      </c>
      <c r="O75" s="298">
        <v>1.9570846227387695</v>
      </c>
      <c r="P75" s="298">
        <v>1.9570846227387695</v>
      </c>
      <c r="Q75" s="298">
        <v>1.9570846227387695</v>
      </c>
      <c r="R75" s="298">
        <v>1.9570846227387695</v>
      </c>
      <c r="S75" s="298">
        <v>1.9570846227387695</v>
      </c>
      <c r="T75" s="298">
        <v>1.9570846227387695</v>
      </c>
      <c r="U75" s="298">
        <v>1.9570846227387695</v>
      </c>
    </row>
    <row r="76" spans="1:21" ht="14.4" x14ac:dyDescent="0.3">
      <c r="A76" s="43">
        <v>14</v>
      </c>
      <c r="B76" s="43"/>
      <c r="C76"/>
      <c r="D76" s="298">
        <v>1.2003992296048918E-2</v>
      </c>
      <c r="E76" s="298">
        <v>1.1494502950486134E-2</v>
      </c>
      <c r="F76" s="298">
        <v>1.0986525442744017E-2</v>
      </c>
      <c r="G76" s="298">
        <v>1.0477036097181234E-2</v>
      </c>
      <c r="H76" s="298">
        <v>1.0431680962561403E-2</v>
      </c>
      <c r="I76" s="298">
        <v>1.0431680962561403E-2</v>
      </c>
      <c r="J76" s="298">
        <v>1.0431680962561403E-2</v>
      </c>
      <c r="K76" s="298">
        <v>1.0431680962561403E-2</v>
      </c>
      <c r="L76" s="298">
        <v>1.0431680962561403E-2</v>
      </c>
      <c r="M76" s="298">
        <v>1.0431680962561403E-2</v>
      </c>
      <c r="N76" s="298">
        <v>1.0431680962561403E-2</v>
      </c>
      <c r="O76" s="298">
        <v>1.0431680962561403E-2</v>
      </c>
      <c r="P76" s="298">
        <v>1.0431680962561403E-2</v>
      </c>
      <c r="Q76" s="298">
        <v>1.0431680962561403E-2</v>
      </c>
      <c r="R76" s="298">
        <v>1.0431680962561403E-2</v>
      </c>
      <c r="S76" s="298">
        <v>1.0431680962561403E-2</v>
      </c>
      <c r="T76" s="298">
        <v>1.0431680962561403E-2</v>
      </c>
      <c r="U76" s="298">
        <v>1.0431680962561403E-2</v>
      </c>
    </row>
    <row r="77" spans="1:21" ht="14.4" x14ac:dyDescent="0.3">
      <c r="A77" s="43">
        <v>15</v>
      </c>
      <c r="B77" s="43"/>
      <c r="C77"/>
      <c r="D77" s="298">
        <v>2.2368084049890326E-3</v>
      </c>
      <c r="E77" s="298">
        <v>2.1418708190342082E-3</v>
      </c>
      <c r="F77" s="298">
        <v>2.0472149469842947E-3</v>
      </c>
      <c r="G77" s="298">
        <v>1.9522773610294703E-3</v>
      </c>
      <c r="H77" s="298">
        <v>1.9438259438821566E-3</v>
      </c>
      <c r="I77" s="298">
        <v>1.9438259438821566E-3</v>
      </c>
      <c r="J77" s="298">
        <v>1.9438259438821566E-3</v>
      </c>
      <c r="K77" s="298">
        <v>1.9438259438821566E-3</v>
      </c>
      <c r="L77" s="298">
        <v>1.9438259438821566E-3</v>
      </c>
      <c r="M77" s="298">
        <v>1.9438259438821566E-3</v>
      </c>
      <c r="N77" s="298">
        <v>1.9438259438821566E-3</v>
      </c>
      <c r="O77" s="298">
        <v>1.9438259438821566E-3</v>
      </c>
      <c r="P77" s="298">
        <v>1.9438259438821566E-3</v>
      </c>
      <c r="Q77" s="298">
        <v>1.9438259438821566E-3</v>
      </c>
      <c r="R77" s="298">
        <v>1.9438259438821566E-3</v>
      </c>
      <c r="S77" s="298">
        <v>1.9438259438821566E-3</v>
      </c>
      <c r="T77" s="298">
        <v>1.9438259438821566E-3</v>
      </c>
      <c r="U77" s="298">
        <v>1.9438259438821566E-3</v>
      </c>
    </row>
    <row r="78" spans="1:21" ht="14.4" x14ac:dyDescent="0.3">
      <c r="A78" s="43">
        <v>16</v>
      </c>
      <c r="B78" s="43"/>
      <c r="C78"/>
      <c r="D78" s="298">
        <v>1.0045803829833231E-2</v>
      </c>
      <c r="E78" s="298">
        <v>9.6194265136299809E-3</v>
      </c>
      <c r="F78" s="298">
        <v>9.1943144120148722E-3</v>
      </c>
      <c r="G78" s="298">
        <v>8.7679370958116225E-3</v>
      </c>
      <c r="H78" s="298">
        <v>8.7299806581674182E-3</v>
      </c>
      <c r="I78" s="298">
        <v>8.7299806581674182E-3</v>
      </c>
      <c r="J78" s="298">
        <v>8.7299806581674182E-3</v>
      </c>
      <c r="K78" s="298">
        <v>8.7299806581674182E-3</v>
      </c>
      <c r="L78" s="298">
        <v>8.7299806581674182E-3</v>
      </c>
      <c r="M78" s="298">
        <v>8.7299806581674182E-3</v>
      </c>
      <c r="N78" s="298">
        <v>8.7299806581674182E-3</v>
      </c>
      <c r="O78" s="298">
        <v>8.7299806581674182E-3</v>
      </c>
      <c r="P78" s="298">
        <v>8.7299806581674182E-3</v>
      </c>
      <c r="Q78" s="298">
        <v>8.7299806581674182E-3</v>
      </c>
      <c r="R78" s="298">
        <v>8.7299806581674182E-3</v>
      </c>
      <c r="S78" s="298">
        <v>8.7299806581674182E-3</v>
      </c>
      <c r="T78" s="298">
        <v>8.7299806581674182E-3</v>
      </c>
      <c r="U78" s="298">
        <v>8.7299806581674182E-3</v>
      </c>
    </row>
    <row r="79" spans="1:21" ht="14.4" x14ac:dyDescent="0.3">
      <c r="A79" s="43">
        <v>17</v>
      </c>
      <c r="B79" s="43"/>
      <c r="C79"/>
      <c r="D79" s="298">
        <v>1.1226094656127854</v>
      </c>
      <c r="E79" s="298">
        <v>1.0749621872863988</v>
      </c>
      <c r="F79" s="298">
        <v>1.0274562955425832</v>
      </c>
      <c r="G79" s="298">
        <v>0.97980901721619673</v>
      </c>
      <c r="H79" s="298">
        <v>0.97556741973907035</v>
      </c>
      <c r="I79" s="298">
        <v>0.97556741973907035</v>
      </c>
      <c r="J79" s="298">
        <v>0.97556741973907035</v>
      </c>
      <c r="K79" s="298">
        <v>0.97556741973907035</v>
      </c>
      <c r="L79" s="298">
        <v>0.97556741973907035</v>
      </c>
      <c r="M79" s="298">
        <v>0.97556741973907035</v>
      </c>
      <c r="N79" s="298">
        <v>0.97556741973907035</v>
      </c>
      <c r="O79" s="298">
        <v>0.97556741973907035</v>
      </c>
      <c r="P79" s="298">
        <v>0.97556741973907035</v>
      </c>
      <c r="Q79" s="298">
        <v>0.97556741973907035</v>
      </c>
      <c r="R79" s="298">
        <v>0.97556741973907035</v>
      </c>
      <c r="S79" s="298">
        <v>0.97556741973907035</v>
      </c>
      <c r="T79" s="298">
        <v>0.97556741973907035</v>
      </c>
      <c r="U79" s="298">
        <v>0.97556741973907035</v>
      </c>
    </row>
    <row r="80" spans="1:21" ht="14.4" x14ac:dyDescent="0.3">
      <c r="A80" s="43">
        <v>18</v>
      </c>
      <c r="B80" s="43"/>
      <c r="C80"/>
      <c r="D80" s="298">
        <v>2.9975279448625292E-3</v>
      </c>
      <c r="E80" s="298">
        <v>2.8703028922909078E-3</v>
      </c>
      <c r="F80" s="298">
        <v>2.7434553621304785E-3</v>
      </c>
      <c r="G80" s="298">
        <v>2.6162303095588571E-3</v>
      </c>
      <c r="H80" s="298">
        <v>2.6049046372231049E-3</v>
      </c>
      <c r="I80" s="298">
        <v>2.6049046372231049E-3</v>
      </c>
      <c r="J80" s="298">
        <v>2.6049046372231049E-3</v>
      </c>
      <c r="K80" s="298">
        <v>2.6049046372231049E-3</v>
      </c>
      <c r="L80" s="298">
        <v>2.6049046372231049E-3</v>
      </c>
      <c r="M80" s="298">
        <v>2.6049046372231049E-3</v>
      </c>
      <c r="N80" s="298">
        <v>2.6049046372231049E-3</v>
      </c>
      <c r="O80" s="298">
        <v>2.6049046372231049E-3</v>
      </c>
      <c r="P80" s="298">
        <v>2.6049046372231049E-3</v>
      </c>
      <c r="Q80" s="298">
        <v>2.6049046372231049E-3</v>
      </c>
      <c r="R80" s="298">
        <v>2.6049046372231049E-3</v>
      </c>
      <c r="S80" s="298">
        <v>2.6049046372231049E-3</v>
      </c>
      <c r="T80" s="298">
        <v>2.6049046372231049E-3</v>
      </c>
      <c r="U80" s="298">
        <v>2.6049046372231049E-3</v>
      </c>
    </row>
    <row r="81" spans="1:21" ht="14.4" x14ac:dyDescent="0.3">
      <c r="A81" s="43">
        <v>19</v>
      </c>
      <c r="B81" s="43"/>
      <c r="C81"/>
      <c r="D81" s="298">
        <v>1.0548634848389891</v>
      </c>
      <c r="E81" s="298">
        <v>1.0100915711877623</v>
      </c>
      <c r="F81" s="298">
        <v>0.96545251187971459</v>
      </c>
      <c r="G81" s="298">
        <v>0.92068059822848791</v>
      </c>
      <c r="H81" s="298">
        <v>0.91669496793312655</v>
      </c>
      <c r="I81" s="298">
        <v>0.91669496793312655</v>
      </c>
      <c r="J81" s="298">
        <v>0.91669496793312655</v>
      </c>
      <c r="K81" s="298">
        <v>0.91669496793312655</v>
      </c>
      <c r="L81" s="298">
        <v>0.91669496793312655</v>
      </c>
      <c r="M81" s="298">
        <v>0.91669496793312655</v>
      </c>
      <c r="N81" s="298">
        <v>0.91669496793312655</v>
      </c>
      <c r="O81" s="298">
        <v>0.91669496793312655</v>
      </c>
      <c r="P81" s="298">
        <v>0.91669496793312655</v>
      </c>
      <c r="Q81" s="298">
        <v>0.91669496793312655</v>
      </c>
      <c r="R81" s="298">
        <v>0.91669496793312655</v>
      </c>
      <c r="S81" s="298">
        <v>0.91669496793312655</v>
      </c>
      <c r="T81" s="298">
        <v>0.91669496793312655</v>
      </c>
      <c r="U81" s="298">
        <v>0.91669496793312655</v>
      </c>
    </row>
    <row r="82" spans="1:21" ht="14.4" x14ac:dyDescent="0.3">
      <c r="A82" s="43">
        <v>20</v>
      </c>
      <c r="B82" s="43"/>
      <c r="C82"/>
      <c r="D82" s="298">
        <v>3.9537279671871609E-3</v>
      </c>
      <c r="E82" s="298">
        <v>3.7859186063632214E-3</v>
      </c>
      <c r="F82" s="298">
        <v>3.6186071961648737E-3</v>
      </c>
      <c r="G82" s="298">
        <v>3.4507978353409343E-3</v>
      </c>
      <c r="H82" s="298">
        <v>3.435859316573225E-3</v>
      </c>
      <c r="I82" s="298">
        <v>3.435859316573225E-3</v>
      </c>
      <c r="J82" s="298">
        <v>3.435859316573225E-3</v>
      </c>
      <c r="K82" s="298">
        <v>3.435859316573225E-3</v>
      </c>
      <c r="L82" s="298">
        <v>3.435859316573225E-3</v>
      </c>
      <c r="M82" s="298">
        <v>3.435859316573225E-3</v>
      </c>
      <c r="N82" s="298">
        <v>3.435859316573225E-3</v>
      </c>
      <c r="O82" s="298">
        <v>3.435859316573225E-3</v>
      </c>
      <c r="P82" s="298">
        <v>3.435859316573225E-3</v>
      </c>
      <c r="Q82" s="298">
        <v>3.435859316573225E-3</v>
      </c>
      <c r="R82" s="298">
        <v>3.435859316573225E-3</v>
      </c>
      <c r="S82" s="298">
        <v>3.435859316573225E-3</v>
      </c>
      <c r="T82" s="298">
        <v>3.435859316573225E-3</v>
      </c>
      <c r="U82" s="298">
        <v>3.435859316573225E-3</v>
      </c>
    </row>
    <row r="83" spans="1:21" ht="14.4" x14ac:dyDescent="0.3">
      <c r="A83" s="43">
        <v>21</v>
      </c>
      <c r="B83" s="43"/>
      <c r="C83"/>
      <c r="D83" s="298">
        <v>1.7776305987240223E-3</v>
      </c>
      <c r="E83" s="298">
        <v>1.7021820456043753E-3</v>
      </c>
      <c r="F83" s="298">
        <v>1.6269573754316713E-3</v>
      </c>
      <c r="G83" s="298">
        <v>1.5515088223120243E-3</v>
      </c>
      <c r="H83" s="298">
        <v>1.5447923339037474E-3</v>
      </c>
      <c r="I83" s="298">
        <v>1.5447923339037474E-3</v>
      </c>
      <c r="J83" s="298">
        <v>1.5447923339037474E-3</v>
      </c>
      <c r="K83" s="298">
        <v>1.5447923339037474E-3</v>
      </c>
      <c r="L83" s="298">
        <v>1.5447923339037474E-3</v>
      </c>
      <c r="M83" s="298">
        <v>1.5447923339037474E-3</v>
      </c>
      <c r="N83" s="298">
        <v>1.5447923339037474E-3</v>
      </c>
      <c r="O83" s="298">
        <v>1.5447923339037474E-3</v>
      </c>
      <c r="P83" s="298">
        <v>1.5447923339037474E-3</v>
      </c>
      <c r="Q83" s="298">
        <v>1.5447923339037474E-3</v>
      </c>
      <c r="R83" s="298">
        <v>1.5447923339037474E-3</v>
      </c>
      <c r="S83" s="298">
        <v>1.5447923339037474E-3</v>
      </c>
      <c r="T83" s="298">
        <v>1.5447923339037474E-3</v>
      </c>
      <c r="U83" s="298">
        <v>1.5447923339037474E-3</v>
      </c>
    </row>
    <row r="84" spans="1:21" ht="14.4" x14ac:dyDescent="0.3">
      <c r="A84" s="43">
        <v>22</v>
      </c>
      <c r="B84" s="43"/>
      <c r="C84"/>
      <c r="D84" s="298">
        <v>6.0107835552342427E-3</v>
      </c>
      <c r="E84" s="298">
        <v>5.7556659156732925E-3</v>
      </c>
      <c r="F84" s="298">
        <v>5.5013053017490231E-3</v>
      </c>
      <c r="G84" s="298">
        <v>5.2461876621880729E-3</v>
      </c>
      <c r="H84" s="298">
        <v>5.2234768930876927E-3</v>
      </c>
      <c r="I84" s="298">
        <v>5.2234768930876927E-3</v>
      </c>
      <c r="J84" s="298">
        <v>5.2234768930876927E-3</v>
      </c>
      <c r="K84" s="298">
        <v>5.2234768930876927E-3</v>
      </c>
      <c r="L84" s="298">
        <v>5.2234768930876927E-3</v>
      </c>
      <c r="M84" s="298">
        <v>5.2234768930876927E-3</v>
      </c>
      <c r="N84" s="298">
        <v>5.2234768930876927E-3</v>
      </c>
      <c r="O84" s="298">
        <v>5.2234768930876927E-3</v>
      </c>
      <c r="P84" s="298">
        <v>5.2234768930876927E-3</v>
      </c>
      <c r="Q84" s="298">
        <v>5.2234768930876927E-3</v>
      </c>
      <c r="R84" s="298">
        <v>5.2234768930876927E-3</v>
      </c>
      <c r="S84" s="298">
        <v>5.2234768930876927E-3</v>
      </c>
      <c r="T84" s="298">
        <v>5.2234768930876927E-3</v>
      </c>
      <c r="U84" s="298">
        <v>5.2234768930876927E-3</v>
      </c>
    </row>
    <row r="85" spans="1:21" ht="14.4" x14ac:dyDescent="0.3">
      <c r="A85" s="43">
        <v>23</v>
      </c>
      <c r="B85" s="43"/>
      <c r="C85"/>
      <c r="D85" s="298">
        <v>0.62976876382261859</v>
      </c>
      <c r="E85" s="298">
        <v>0.60303928354450487</v>
      </c>
      <c r="F85" s="298">
        <v>0.57638911923160818</v>
      </c>
      <c r="G85" s="298">
        <v>0.54965963895349446</v>
      </c>
      <c r="H85" s="298">
        <v>0.54728015999698587</v>
      </c>
      <c r="I85" s="298">
        <v>0.54728015999698587</v>
      </c>
      <c r="J85" s="298">
        <v>0.54728015999698587</v>
      </c>
      <c r="K85" s="298">
        <v>0.54728015999698587</v>
      </c>
      <c r="L85" s="298">
        <v>0.54728015999698587</v>
      </c>
      <c r="M85" s="298">
        <v>0.54728015999698587</v>
      </c>
      <c r="N85" s="298">
        <v>0.54728015999698587</v>
      </c>
      <c r="O85" s="298">
        <v>0.54728015999698587</v>
      </c>
      <c r="P85" s="298">
        <v>0.54728015999698587</v>
      </c>
      <c r="Q85" s="298">
        <v>0.54728015999698587</v>
      </c>
      <c r="R85" s="298">
        <v>0.54728015999698587</v>
      </c>
      <c r="S85" s="298">
        <v>0.54728015999698587</v>
      </c>
      <c r="T85" s="298">
        <v>0.54728015999698587</v>
      </c>
      <c r="U85" s="298">
        <v>0.54728015999698587</v>
      </c>
    </row>
    <row r="86" spans="1:21" ht="14.4" x14ac:dyDescent="0.3">
      <c r="A86" s="43">
        <v>24</v>
      </c>
      <c r="B86" s="43"/>
      <c r="C86"/>
      <c r="D86" s="298">
        <v>8.4786508236885832E-4</v>
      </c>
      <c r="E86" s="298">
        <v>8.1187886917511701E-4</v>
      </c>
      <c r="F86" s="298">
        <v>7.7599943999678768E-4</v>
      </c>
      <c r="G86" s="298">
        <v>7.4001322680304637E-4</v>
      </c>
      <c r="H86" s="298">
        <v>7.3680970634069551E-4</v>
      </c>
      <c r="I86" s="298">
        <v>7.3680970634069551E-4</v>
      </c>
      <c r="J86" s="298">
        <v>7.3680970634069551E-4</v>
      </c>
      <c r="K86" s="298">
        <v>7.3680970634069551E-4</v>
      </c>
      <c r="L86" s="298">
        <v>7.3680970634069551E-4</v>
      </c>
      <c r="M86" s="298">
        <v>7.3680970634069551E-4</v>
      </c>
      <c r="N86" s="298">
        <v>7.3680970634069551E-4</v>
      </c>
      <c r="O86" s="298">
        <v>7.3680970634069551E-4</v>
      </c>
      <c r="P86" s="298">
        <v>7.3680970634069551E-4</v>
      </c>
      <c r="Q86" s="298">
        <v>7.3680970634069551E-4</v>
      </c>
      <c r="R86" s="298">
        <v>7.3680970634069551E-4</v>
      </c>
      <c r="S86" s="298">
        <v>7.3680970634069551E-4</v>
      </c>
      <c r="T86" s="298">
        <v>7.3680970634069551E-4</v>
      </c>
      <c r="U86" s="298">
        <v>7.3680970634069551E-4</v>
      </c>
    </row>
    <row r="87" spans="1:21" ht="14.4" x14ac:dyDescent="0.3">
      <c r="A87" s="43">
        <v>25</v>
      </c>
      <c r="B87" s="43"/>
      <c r="C87"/>
      <c r="D87" s="298">
        <v>0.50562930889481716</v>
      </c>
      <c r="E87" s="298">
        <v>0.4841687198397096</v>
      </c>
      <c r="F87" s="298">
        <v>0.46277181205776274</v>
      </c>
      <c r="G87" s="298">
        <v>0.44131122300265524</v>
      </c>
      <c r="H87" s="298">
        <v>0.43940078480783862</v>
      </c>
      <c r="I87" s="298">
        <v>0.43940078480783862</v>
      </c>
      <c r="J87" s="298">
        <v>0.43940078480783862</v>
      </c>
      <c r="K87" s="298">
        <v>0.43940078480783862</v>
      </c>
      <c r="L87" s="298">
        <v>0.43940078480783862</v>
      </c>
      <c r="M87" s="298">
        <v>0.43940078480783862</v>
      </c>
      <c r="N87" s="298">
        <v>0.43940078480783862</v>
      </c>
      <c r="O87" s="298">
        <v>0.43940078480783862</v>
      </c>
      <c r="P87" s="298">
        <v>0.43940078480783862</v>
      </c>
      <c r="Q87" s="298">
        <v>0.43940078480783862</v>
      </c>
      <c r="R87" s="298">
        <v>0.43940078480783862</v>
      </c>
      <c r="S87" s="298">
        <v>0.43940078480783862</v>
      </c>
      <c r="T87" s="298">
        <v>0.43940078480783862</v>
      </c>
      <c r="U87" s="298">
        <v>0.43940078480783862</v>
      </c>
    </row>
    <row r="88" spans="1:21" ht="14.4" x14ac:dyDescent="0.3">
      <c r="A88" s="43">
        <v>26</v>
      </c>
      <c r="B88" s="43"/>
      <c r="C88"/>
      <c r="D88" s="298">
        <v>4.3441249874913218E-3</v>
      </c>
      <c r="E88" s="298">
        <v>4.1597458790801657E-3</v>
      </c>
      <c r="F88" s="298">
        <v>3.9759138896850671E-3</v>
      </c>
      <c r="G88" s="298">
        <v>3.7915347812739111E-3</v>
      </c>
      <c r="H88" s="298">
        <v>3.7751212107922064E-3</v>
      </c>
      <c r="I88" s="298">
        <v>3.7751212107922064E-3</v>
      </c>
      <c r="J88" s="298">
        <v>3.7751212107922064E-3</v>
      </c>
      <c r="K88" s="298">
        <v>3.7751212107922064E-3</v>
      </c>
      <c r="L88" s="298">
        <v>3.7751212107922064E-3</v>
      </c>
      <c r="M88" s="298">
        <v>3.7751212107922064E-3</v>
      </c>
      <c r="N88" s="298">
        <v>3.7751212107922064E-3</v>
      </c>
      <c r="O88" s="298">
        <v>3.7751212107922064E-3</v>
      </c>
      <c r="P88" s="298">
        <v>3.7751212107922064E-3</v>
      </c>
      <c r="Q88" s="298">
        <v>3.7751212107922064E-3</v>
      </c>
      <c r="R88" s="298">
        <v>3.7751212107922064E-3</v>
      </c>
      <c r="S88" s="298">
        <v>3.7751212107922064E-3</v>
      </c>
      <c r="T88" s="298">
        <v>3.7751212107922064E-3</v>
      </c>
      <c r="U88" s="298">
        <v>3.7751212107922064E-3</v>
      </c>
    </row>
    <row r="89" spans="1:21" ht="14.4" x14ac:dyDescent="0.3">
      <c r="A89" s="43">
        <v>27</v>
      </c>
      <c r="B89" s="43"/>
      <c r="C89"/>
      <c r="D89" s="298">
        <v>1.6680713870593842E-3</v>
      </c>
      <c r="E89" s="298">
        <v>1.5972728911602641E-3</v>
      </c>
      <c r="F89" s="298">
        <v>1.5266844798187086E-3</v>
      </c>
      <c r="G89" s="298">
        <v>1.4558859839195882E-3</v>
      </c>
      <c r="H89" s="298">
        <v>1.4495834471926639E-3</v>
      </c>
      <c r="I89" s="298">
        <v>1.4495834471926639E-3</v>
      </c>
      <c r="J89" s="298">
        <v>1.4495834471926639E-3</v>
      </c>
      <c r="K89" s="298">
        <v>1.4495834471926639E-3</v>
      </c>
      <c r="L89" s="298">
        <v>1.4495834471926639E-3</v>
      </c>
      <c r="M89" s="298">
        <v>1.4495834471926639E-3</v>
      </c>
      <c r="N89" s="298">
        <v>1.4495834471926639E-3</v>
      </c>
      <c r="O89" s="298">
        <v>1.4495834471926639E-3</v>
      </c>
      <c r="P89" s="298">
        <v>1.4495834471926639E-3</v>
      </c>
      <c r="Q89" s="298">
        <v>1.4495834471926639E-3</v>
      </c>
      <c r="R89" s="298">
        <v>1.4495834471926639E-3</v>
      </c>
      <c r="S89" s="298">
        <v>1.4495834471926639E-3</v>
      </c>
      <c r="T89" s="298">
        <v>1.4495834471926639E-3</v>
      </c>
      <c r="U89" s="298">
        <v>1.4495834471926639E-3</v>
      </c>
    </row>
    <row r="90" spans="1:21" ht="14.4" x14ac:dyDescent="0.3">
      <c r="A90" s="43">
        <v>28</v>
      </c>
      <c r="B90" s="43"/>
      <c r="C90"/>
      <c r="D90" s="298">
        <v>2.6593794744053248E-3</v>
      </c>
      <c r="E90" s="298">
        <v>2.5465065672422775E-3</v>
      </c>
      <c r="F90" s="298">
        <v>2.4339685945218509E-3</v>
      </c>
      <c r="G90" s="298">
        <v>2.3210956873588036E-3</v>
      </c>
      <c r="H90" s="298">
        <v>2.3110476540801942E-3</v>
      </c>
      <c r="I90" s="298">
        <v>2.3110476540801942E-3</v>
      </c>
      <c r="J90" s="298">
        <v>2.3110476540801942E-3</v>
      </c>
      <c r="K90" s="298">
        <v>2.3110476540801942E-3</v>
      </c>
      <c r="L90" s="298">
        <v>2.3110476540801942E-3</v>
      </c>
      <c r="M90" s="298">
        <v>2.3110476540801942E-3</v>
      </c>
      <c r="N90" s="298">
        <v>2.3110476540801942E-3</v>
      </c>
      <c r="O90" s="298">
        <v>2.3110476540801942E-3</v>
      </c>
      <c r="P90" s="298">
        <v>2.3110476540801942E-3</v>
      </c>
      <c r="Q90" s="298">
        <v>2.3110476540801942E-3</v>
      </c>
      <c r="R90" s="298">
        <v>2.3110476540801942E-3</v>
      </c>
      <c r="S90" s="298">
        <v>2.3110476540801942E-3</v>
      </c>
      <c r="T90" s="298">
        <v>2.3110476540801942E-3</v>
      </c>
      <c r="U90" s="298">
        <v>2.3110476540801942E-3</v>
      </c>
    </row>
    <row r="91" spans="1:21" ht="14.4" x14ac:dyDescent="0.3">
      <c r="A91" s="43">
        <v>29</v>
      </c>
      <c r="B91" s="43"/>
      <c r="C91"/>
      <c r="D91" s="298">
        <v>0.45606825205169371</v>
      </c>
      <c r="E91" s="298">
        <v>0.43671119903640138</v>
      </c>
      <c r="F91" s="298">
        <v>0.41741158534756401</v>
      </c>
      <c r="G91" s="298">
        <v>0.39805453233227167</v>
      </c>
      <c r="H91" s="298">
        <v>0.3963313525386255</v>
      </c>
      <c r="I91" s="298">
        <v>0.3963313525386255</v>
      </c>
      <c r="J91" s="298">
        <v>0.3963313525386255</v>
      </c>
      <c r="K91" s="298">
        <v>0.3963313525386255</v>
      </c>
      <c r="L91" s="298">
        <v>0.3963313525386255</v>
      </c>
      <c r="M91" s="298">
        <v>0.3963313525386255</v>
      </c>
      <c r="N91" s="298">
        <v>0.3963313525386255</v>
      </c>
      <c r="O91" s="298">
        <v>0.3963313525386255</v>
      </c>
      <c r="P91" s="298">
        <v>0.3963313525386255</v>
      </c>
      <c r="Q91" s="298">
        <v>0.3963313525386255</v>
      </c>
      <c r="R91" s="298">
        <v>0.3963313525386255</v>
      </c>
      <c r="S91" s="298">
        <v>0.3963313525386255</v>
      </c>
      <c r="T91" s="298">
        <v>0.3963313525386255</v>
      </c>
      <c r="U91" s="298">
        <v>0.3963313525386255</v>
      </c>
    </row>
    <row r="92" spans="1:21" ht="14.4" x14ac:dyDescent="0.3">
      <c r="A92" s="43">
        <v>30</v>
      </c>
      <c r="B92" s="43"/>
      <c r="C92"/>
      <c r="D92" s="298">
        <v>1.3183735589566582E-3</v>
      </c>
      <c r="E92" s="298">
        <v>1.2624174016054748E-3</v>
      </c>
      <c r="F92" s="298">
        <v>1.2066272862642361E-3</v>
      </c>
      <c r="G92" s="298">
        <v>1.1506711289130528E-3</v>
      </c>
      <c r="H92" s="298">
        <v>1.1456898686147282E-3</v>
      </c>
      <c r="I92" s="298">
        <v>1.1456898686147282E-3</v>
      </c>
      <c r="J92" s="298">
        <v>1.1456898686147282E-3</v>
      </c>
      <c r="K92" s="298">
        <v>1.1456898686147282E-3</v>
      </c>
      <c r="L92" s="298">
        <v>1.1456898686147282E-3</v>
      </c>
      <c r="M92" s="298">
        <v>1.1456898686147282E-3</v>
      </c>
      <c r="N92" s="298">
        <v>1.1456898686147282E-3</v>
      </c>
      <c r="O92" s="298">
        <v>1.1456898686147282E-3</v>
      </c>
      <c r="P92" s="298">
        <v>1.1456898686147282E-3</v>
      </c>
      <c r="Q92" s="298">
        <v>1.1456898686147282E-3</v>
      </c>
      <c r="R92" s="298">
        <v>1.1456898686147282E-3</v>
      </c>
      <c r="S92" s="298">
        <v>1.1456898686147282E-3</v>
      </c>
      <c r="T92" s="298">
        <v>1.1456898686147282E-3</v>
      </c>
      <c r="U92" s="298">
        <v>1.1456898686147282E-3</v>
      </c>
    </row>
    <row r="93" spans="1:21" ht="14.4" x14ac:dyDescent="0.3">
      <c r="A93" s="43">
        <v>31</v>
      </c>
      <c r="B93" s="43"/>
      <c r="C93"/>
      <c r="D93" s="298">
        <v>0.37522450205406943</v>
      </c>
      <c r="E93" s="298">
        <v>0.3592987265890541</v>
      </c>
      <c r="F93" s="298">
        <v>0.34342020861800038</v>
      </c>
      <c r="G93" s="298">
        <v>0.32749443315298504</v>
      </c>
      <c r="H93" s="298">
        <v>0.32607670833414099</v>
      </c>
      <c r="I93" s="298">
        <v>0.32607670833414099</v>
      </c>
      <c r="J93" s="298">
        <v>0.32607670833414099</v>
      </c>
      <c r="K93" s="298">
        <v>0.32607670833414099</v>
      </c>
      <c r="L93" s="298">
        <v>0.32607670833414099</v>
      </c>
      <c r="M93" s="298">
        <v>0.32607670833414099</v>
      </c>
      <c r="N93" s="298">
        <v>0.32607670833414099</v>
      </c>
      <c r="O93" s="298">
        <v>0.32607670833414099</v>
      </c>
      <c r="P93" s="298">
        <v>0.32607670833414099</v>
      </c>
      <c r="Q93" s="298">
        <v>0.32607670833414099</v>
      </c>
      <c r="R93" s="298">
        <v>0.32607670833414099</v>
      </c>
      <c r="S93" s="298">
        <v>0.32607670833414099</v>
      </c>
      <c r="T93" s="298">
        <v>0.32607670833414099</v>
      </c>
      <c r="U93" s="298">
        <v>0.32607670833414099</v>
      </c>
    </row>
    <row r="94" spans="1:21" ht="14.4" x14ac:dyDescent="0.3">
      <c r="A94" s="43">
        <v>32</v>
      </c>
      <c r="B94" s="43"/>
      <c r="C94"/>
      <c r="D94" s="298">
        <v>4.4424581385988397E-3</v>
      </c>
      <c r="E94" s="298">
        <v>4.2539054443031452E-3</v>
      </c>
      <c r="F94" s="298">
        <v>4.0659122535513558E-3</v>
      </c>
      <c r="G94" s="298">
        <v>3.8773595592556617E-3</v>
      </c>
      <c r="H94" s="298">
        <v>3.8605744529385381E-3</v>
      </c>
      <c r="I94" s="298">
        <v>3.8605744529385381E-3</v>
      </c>
      <c r="J94" s="298">
        <v>3.8605744529385381E-3</v>
      </c>
      <c r="K94" s="298">
        <v>3.8605744529385381E-3</v>
      </c>
      <c r="L94" s="298">
        <v>3.8605744529385381E-3</v>
      </c>
      <c r="M94" s="298">
        <v>3.8605744529385381E-3</v>
      </c>
      <c r="N94" s="298">
        <v>3.8605744529385381E-3</v>
      </c>
      <c r="O94" s="298">
        <v>3.8605744529385381E-3</v>
      </c>
      <c r="P94" s="298">
        <v>3.8605744529385381E-3</v>
      </c>
      <c r="Q94" s="298">
        <v>3.8605744529385381E-3</v>
      </c>
      <c r="R94" s="298">
        <v>3.8605744529385381E-3</v>
      </c>
      <c r="S94" s="298">
        <v>3.8605744529385381E-3</v>
      </c>
      <c r="T94" s="298">
        <v>3.8605744529385381E-3</v>
      </c>
      <c r="U94" s="298">
        <v>3.8605744529385381E-3</v>
      </c>
    </row>
    <row r="95" spans="1:21" ht="14.4" x14ac:dyDescent="0.3">
      <c r="A95" s="43">
        <v>33</v>
      </c>
      <c r="B95" s="43"/>
      <c r="C95"/>
      <c r="D95" s="298">
        <v>3.9151474776729251E-4</v>
      </c>
      <c r="E95" s="298">
        <v>3.7489756011016681E-4</v>
      </c>
      <c r="F95" s="298">
        <v>3.5832968161522856E-4</v>
      </c>
      <c r="G95" s="298">
        <v>3.4171249395810287E-4</v>
      </c>
      <c r="H95" s="298">
        <v>3.4023321909248342E-4</v>
      </c>
      <c r="I95" s="298">
        <v>3.4023321909248342E-4</v>
      </c>
      <c r="J95" s="298">
        <v>3.4023321909248342E-4</v>
      </c>
      <c r="K95" s="298">
        <v>3.4023321909248342E-4</v>
      </c>
      <c r="L95" s="298">
        <v>3.4023321909248342E-4</v>
      </c>
      <c r="M95" s="298">
        <v>3.4023321909248342E-4</v>
      </c>
      <c r="N95" s="298">
        <v>3.4023321909248342E-4</v>
      </c>
      <c r="O95" s="298">
        <v>3.4023321909248342E-4</v>
      </c>
      <c r="P95" s="298">
        <v>3.4023321909248342E-4</v>
      </c>
      <c r="Q95" s="298">
        <v>3.4023321909248342E-4</v>
      </c>
      <c r="R95" s="298">
        <v>3.4023321909248342E-4</v>
      </c>
      <c r="S95" s="298">
        <v>3.4023321909248342E-4</v>
      </c>
      <c r="T95" s="298">
        <v>3.4023321909248342E-4</v>
      </c>
      <c r="U95" s="298">
        <v>3.4023321909248342E-4</v>
      </c>
    </row>
    <row r="96" spans="1:21" ht="14.4" x14ac:dyDescent="0.3">
      <c r="A96" s="43">
        <v>34</v>
      </c>
      <c r="B96" s="43"/>
      <c r="C96"/>
      <c r="D96" s="298">
        <v>4.3908763413790649E-3</v>
      </c>
      <c r="E96" s="298">
        <v>4.2045129500636056E-3</v>
      </c>
      <c r="F96" s="298">
        <v>4.018702565844039E-3</v>
      </c>
      <c r="G96" s="298">
        <v>3.8323391745285792E-3</v>
      </c>
      <c r="H96" s="298">
        <v>3.8157489616518327E-3</v>
      </c>
      <c r="I96" s="298">
        <v>3.8157489616518327E-3</v>
      </c>
      <c r="J96" s="298">
        <v>3.8157489616518327E-3</v>
      </c>
      <c r="K96" s="298">
        <v>3.8157489616518327E-3</v>
      </c>
      <c r="L96" s="298">
        <v>3.8157489616518327E-3</v>
      </c>
      <c r="M96" s="298">
        <v>3.8157489616518327E-3</v>
      </c>
      <c r="N96" s="298">
        <v>3.8157489616518327E-3</v>
      </c>
      <c r="O96" s="298">
        <v>3.8157489616518327E-3</v>
      </c>
      <c r="P96" s="298">
        <v>3.8157489616518327E-3</v>
      </c>
      <c r="Q96" s="298">
        <v>3.8157489616518327E-3</v>
      </c>
      <c r="R96" s="298">
        <v>3.8157489616518327E-3</v>
      </c>
      <c r="S96" s="298">
        <v>3.8157489616518327E-3</v>
      </c>
      <c r="T96" s="298">
        <v>3.8157489616518327E-3</v>
      </c>
      <c r="U96" s="298">
        <v>3.8157489616518327E-3</v>
      </c>
    </row>
    <row r="97" spans="1:21" ht="14.4" x14ac:dyDescent="0.3">
      <c r="A97" s="43">
        <v>35</v>
      </c>
      <c r="B97" s="43"/>
      <c r="C97"/>
      <c r="D97" s="298">
        <v>0.28137093963309123</v>
      </c>
      <c r="E97" s="298">
        <v>0.2694286214144071</v>
      </c>
      <c r="F97" s="298">
        <v>0.25752174034177255</v>
      </c>
      <c r="G97" s="298">
        <v>0.24557942212308842</v>
      </c>
      <c r="H97" s="298">
        <v>0.24451630774160321</v>
      </c>
      <c r="I97" s="298">
        <v>0.24451630774160321</v>
      </c>
      <c r="J97" s="298">
        <v>0.24451630774160321</v>
      </c>
      <c r="K97" s="298">
        <v>0.24451630774160321</v>
      </c>
      <c r="L97" s="298">
        <v>0.24451630774160321</v>
      </c>
      <c r="M97" s="298">
        <v>0.24451630774160321</v>
      </c>
      <c r="N97" s="298">
        <v>0.24451630774160321</v>
      </c>
      <c r="O97" s="298">
        <v>0.24451630774160321</v>
      </c>
      <c r="P97" s="298">
        <v>0.24451630774160321</v>
      </c>
      <c r="Q97" s="298">
        <v>0.24451630774160321</v>
      </c>
      <c r="R97" s="298">
        <v>0.24451630774160321</v>
      </c>
      <c r="S97" s="298">
        <v>0.24451630774160321</v>
      </c>
      <c r="T97" s="298">
        <v>0.24451630774160321</v>
      </c>
      <c r="U97" s="298">
        <v>0.24451630774160321</v>
      </c>
    </row>
    <row r="98" spans="1:21" ht="14.4" x14ac:dyDescent="0.3">
      <c r="A98" s="43">
        <v>36</v>
      </c>
      <c r="B98" s="43"/>
      <c r="C98"/>
      <c r="D98" s="298">
        <v>1.0040096615005793E-3</v>
      </c>
      <c r="E98" s="298">
        <v>9.613961531975949E-4</v>
      </c>
      <c r="F98" s="298">
        <v>9.1890909447414485E-4</v>
      </c>
      <c r="G98" s="298">
        <v>8.7629558617116036E-4</v>
      </c>
      <c r="H98" s="298">
        <v>8.7250209878513821E-4</v>
      </c>
      <c r="I98" s="298">
        <v>8.7250209878513821E-4</v>
      </c>
      <c r="J98" s="298">
        <v>8.7250209878513821E-4</v>
      </c>
      <c r="K98" s="298">
        <v>8.7250209878513821E-4</v>
      </c>
      <c r="L98" s="298">
        <v>8.7250209878513821E-4</v>
      </c>
      <c r="M98" s="298">
        <v>8.7250209878513821E-4</v>
      </c>
      <c r="N98" s="298">
        <v>8.7250209878513821E-4</v>
      </c>
      <c r="O98" s="298">
        <v>8.7250209878513821E-4</v>
      </c>
      <c r="P98" s="298">
        <v>8.7250209878513821E-4</v>
      </c>
      <c r="Q98" s="298">
        <v>8.7250209878513821E-4</v>
      </c>
      <c r="R98" s="298">
        <v>8.7250209878513821E-4</v>
      </c>
      <c r="S98" s="298">
        <v>8.7250209878513821E-4</v>
      </c>
      <c r="T98" s="298">
        <v>8.7250209878513821E-4</v>
      </c>
      <c r="U98" s="298">
        <v>8.7250209878513821E-4</v>
      </c>
    </row>
    <row r="99" spans="1:21" ht="14.4" x14ac:dyDescent="0.3">
      <c r="A99" s="43">
        <v>37</v>
      </c>
      <c r="B99" s="43"/>
      <c r="C99"/>
      <c r="D99" s="298">
        <v>0.27092015251503732</v>
      </c>
      <c r="E99" s="298">
        <v>0.25942140044985246</v>
      </c>
      <c r="F99" s="298">
        <v>0.24795676931067712</v>
      </c>
      <c r="G99" s="298">
        <v>0.23645801724549223</v>
      </c>
      <c r="H99" s="298">
        <v>0.23543438946520875</v>
      </c>
      <c r="I99" s="298">
        <v>0.23543438946520875</v>
      </c>
      <c r="J99" s="298">
        <v>0.23543438946520875</v>
      </c>
      <c r="K99" s="298">
        <v>0.23543438946520875</v>
      </c>
      <c r="L99" s="298">
        <v>0.23543438946520875</v>
      </c>
      <c r="M99" s="298">
        <v>0.23543438946520875</v>
      </c>
      <c r="N99" s="298">
        <v>0.23543438946520875</v>
      </c>
      <c r="O99" s="298">
        <v>0.23543438946520875</v>
      </c>
      <c r="P99" s="298">
        <v>0.23543438946520875</v>
      </c>
      <c r="Q99" s="298">
        <v>0.23543438946520875</v>
      </c>
      <c r="R99" s="298">
        <v>0.23543438946520875</v>
      </c>
      <c r="S99" s="298">
        <v>0.23543438946520875</v>
      </c>
      <c r="T99" s="298">
        <v>0.23543438946520875</v>
      </c>
      <c r="U99" s="298">
        <v>0.23543438946520875</v>
      </c>
    </row>
    <row r="100" spans="1:21" ht="14.4" x14ac:dyDescent="0.3">
      <c r="A100" s="43">
        <v>38</v>
      </c>
      <c r="B100" s="43"/>
      <c r="C100"/>
      <c r="D100" s="298">
        <v>1.8622727625131231E-3</v>
      </c>
      <c r="E100" s="298">
        <v>1.7832317145324021E-3</v>
      </c>
      <c r="F100" s="298">
        <v>1.7044252097207641E-3</v>
      </c>
      <c r="G100" s="298">
        <v>1.6253841617400431E-3</v>
      </c>
      <c r="H100" s="298">
        <v>1.6183478666675756E-3</v>
      </c>
      <c r="I100" s="298">
        <v>1.6183478666675756E-3</v>
      </c>
      <c r="J100" s="298">
        <v>1.6183478666675756E-3</v>
      </c>
      <c r="K100" s="298">
        <v>1.6183478666675756E-3</v>
      </c>
      <c r="L100" s="298">
        <v>1.6183478666675756E-3</v>
      </c>
      <c r="M100" s="298">
        <v>1.6183478666675756E-3</v>
      </c>
      <c r="N100" s="298">
        <v>1.6183478666675756E-3</v>
      </c>
      <c r="O100" s="298">
        <v>1.6183478666675756E-3</v>
      </c>
      <c r="P100" s="298">
        <v>1.6183478666675756E-3</v>
      </c>
      <c r="Q100" s="298">
        <v>1.6183478666675756E-3</v>
      </c>
      <c r="R100" s="298">
        <v>1.6183478666675756E-3</v>
      </c>
      <c r="S100" s="298">
        <v>1.6183478666675756E-3</v>
      </c>
      <c r="T100" s="298">
        <v>1.6183478666675756E-3</v>
      </c>
      <c r="U100" s="298">
        <v>1.6183478666675756E-3</v>
      </c>
    </row>
    <row r="101" spans="1:21" ht="14.4" x14ac:dyDescent="0.3">
      <c r="A101" s="43">
        <v>39</v>
      </c>
      <c r="B101" s="43"/>
      <c r="C101"/>
      <c r="D101" s="298">
        <v>1.0570059255579811E-3</v>
      </c>
      <c r="E101" s="298">
        <v>1.0121430795991598E-3</v>
      </c>
      <c r="F101" s="298">
        <v>9.6741335781232358E-4</v>
      </c>
      <c r="G101" s="298">
        <v>9.2255051185350235E-4</v>
      </c>
      <c r="H101" s="298">
        <v>9.185567866939635E-4</v>
      </c>
      <c r="I101" s="298">
        <v>9.185567866939635E-4</v>
      </c>
      <c r="J101" s="298">
        <v>9.185567866939635E-4</v>
      </c>
      <c r="K101" s="298">
        <v>9.185567866939635E-4</v>
      </c>
      <c r="L101" s="298">
        <v>9.185567866939635E-4</v>
      </c>
      <c r="M101" s="298">
        <v>9.185567866939635E-4</v>
      </c>
      <c r="N101" s="298">
        <v>9.185567866939635E-4</v>
      </c>
      <c r="O101" s="298">
        <v>9.185567866939635E-4</v>
      </c>
      <c r="P101" s="298">
        <v>9.185567866939635E-4</v>
      </c>
      <c r="Q101" s="298">
        <v>9.185567866939635E-4</v>
      </c>
      <c r="R101" s="298">
        <v>9.185567866939635E-4</v>
      </c>
      <c r="S101" s="298">
        <v>9.185567866939635E-4</v>
      </c>
      <c r="T101" s="298">
        <v>9.185567866939635E-4</v>
      </c>
      <c r="U101" s="298">
        <v>9.185567866939635E-4</v>
      </c>
    </row>
    <row r="102" spans="1:21" ht="14.4" x14ac:dyDescent="0.3">
      <c r="A102" s="43">
        <v>40</v>
      </c>
      <c r="B102" s="43"/>
      <c r="C102"/>
      <c r="D102" s="298">
        <v>2.5153513422795128E-3</v>
      </c>
      <c r="E102" s="298">
        <v>2.4085914679283543E-3</v>
      </c>
      <c r="F102" s="298">
        <v>2.3021483884565768E-3</v>
      </c>
      <c r="G102" s="298">
        <v>2.1953885141054183E-3</v>
      </c>
      <c r="H102" s="298">
        <v>2.1858846677240097E-3</v>
      </c>
      <c r="I102" s="298">
        <v>2.1858846677240097E-3</v>
      </c>
      <c r="J102" s="298">
        <v>2.1858846677240097E-3</v>
      </c>
      <c r="K102" s="298">
        <v>2.1858846677240097E-3</v>
      </c>
      <c r="L102" s="298">
        <v>2.1858846677240097E-3</v>
      </c>
      <c r="M102" s="298">
        <v>2.1858846677240097E-3</v>
      </c>
      <c r="N102" s="298">
        <v>2.1858846677240097E-3</v>
      </c>
      <c r="O102" s="298">
        <v>2.1858846677240097E-3</v>
      </c>
      <c r="P102" s="298">
        <v>2.1858846677240097E-3</v>
      </c>
      <c r="Q102" s="298">
        <v>2.1858846677240097E-3</v>
      </c>
      <c r="R102" s="298">
        <v>2.1858846677240097E-3</v>
      </c>
      <c r="S102" s="298">
        <v>2.1858846677240097E-3</v>
      </c>
      <c r="T102" s="298">
        <v>2.1858846677240097E-3</v>
      </c>
      <c r="U102" s="298">
        <v>2.1858846677240097E-3</v>
      </c>
    </row>
    <row r="103" spans="1:21" ht="14.4" x14ac:dyDescent="0.3">
      <c r="A103" s="43">
        <v>41</v>
      </c>
      <c r="B103" s="43"/>
      <c r="C103"/>
      <c r="D103" s="298">
        <v>0.20191949245733634</v>
      </c>
      <c r="E103" s="298">
        <v>0.19334935782784987</v>
      </c>
      <c r="F103" s="298">
        <v>0.18480465386491982</v>
      </c>
      <c r="G103" s="298">
        <v>0.17623451923543335</v>
      </c>
      <c r="H103" s="298">
        <v>0.17547159923874317</v>
      </c>
      <c r="I103" s="298">
        <v>0.17547159923874317</v>
      </c>
      <c r="J103" s="298">
        <v>0.17547159923874317</v>
      </c>
      <c r="K103" s="298">
        <v>0.17547159923874317</v>
      </c>
      <c r="L103" s="298">
        <v>0.17547159923874317</v>
      </c>
      <c r="M103" s="298">
        <v>0.17547159923874317</v>
      </c>
      <c r="N103" s="298">
        <v>0.17547159923874317</v>
      </c>
      <c r="O103" s="298">
        <v>0.17547159923874317</v>
      </c>
      <c r="P103" s="298">
        <v>0.17547159923874317</v>
      </c>
      <c r="Q103" s="298">
        <v>0.17547159923874317</v>
      </c>
      <c r="R103" s="298">
        <v>0.17547159923874317</v>
      </c>
      <c r="S103" s="298">
        <v>0.17547159923874317</v>
      </c>
      <c r="T103" s="298">
        <v>0.17547159923874317</v>
      </c>
      <c r="U103" s="298">
        <v>0.17547159923874317</v>
      </c>
    </row>
    <row r="104" spans="1:21" ht="14.4" x14ac:dyDescent="0.3">
      <c r="A104" s="43">
        <v>42</v>
      </c>
      <c r="B104" s="43"/>
      <c r="C104"/>
      <c r="D104" s="298">
        <v>3.8340122241814256E-4</v>
      </c>
      <c r="E104" s="298">
        <v>3.671283997537957E-4</v>
      </c>
      <c r="F104" s="298">
        <v>3.5090386439705823E-4</v>
      </c>
      <c r="G104" s="298">
        <v>3.3463104173271131E-4</v>
      </c>
      <c r="H104" s="298">
        <v>3.3318242250443119E-4</v>
      </c>
      <c r="I104" s="298">
        <v>3.3318242250443119E-4</v>
      </c>
      <c r="J104" s="298">
        <v>3.3318242250443119E-4</v>
      </c>
      <c r="K104" s="298">
        <v>3.3318242250443119E-4</v>
      </c>
      <c r="L104" s="298">
        <v>3.3318242250443119E-4</v>
      </c>
      <c r="M104" s="298">
        <v>3.3318242250443119E-4</v>
      </c>
      <c r="N104" s="298">
        <v>3.3318242250443119E-4</v>
      </c>
      <c r="O104" s="298">
        <v>3.3318242250443119E-4</v>
      </c>
      <c r="P104" s="298">
        <v>3.3318242250443119E-4</v>
      </c>
      <c r="Q104" s="298">
        <v>3.3318242250443119E-4</v>
      </c>
      <c r="R104" s="298">
        <v>3.3318242250443119E-4</v>
      </c>
      <c r="S104" s="298">
        <v>3.3318242250443119E-4</v>
      </c>
      <c r="T104" s="298">
        <v>3.3318242250443119E-4</v>
      </c>
      <c r="U104" s="298">
        <v>3.3318242250443119E-4</v>
      </c>
    </row>
    <row r="105" spans="1:21" ht="14.4" x14ac:dyDescent="0.3">
      <c r="A105" s="43">
        <v>43</v>
      </c>
      <c r="B105" s="43"/>
      <c r="C105"/>
      <c r="D105" s="298">
        <v>0.17961384514704054</v>
      </c>
      <c r="E105" s="298">
        <v>0.17199043635427569</v>
      </c>
      <c r="F105" s="298">
        <v>0.16438964895258737</v>
      </c>
      <c r="G105" s="298">
        <v>0.15676624015982252</v>
      </c>
      <c r="H105" s="298">
        <v>0.15608759842752892</v>
      </c>
      <c r="I105" s="298">
        <v>0.15608759842752892</v>
      </c>
      <c r="J105" s="298">
        <v>0.15608759842752892</v>
      </c>
      <c r="K105" s="298">
        <v>0.15608759842752892</v>
      </c>
      <c r="L105" s="298">
        <v>0.15608759842752892</v>
      </c>
      <c r="M105" s="298">
        <v>0.15608759842752892</v>
      </c>
      <c r="N105" s="298">
        <v>0.15608759842752892</v>
      </c>
      <c r="O105" s="298">
        <v>0.15608759842752892</v>
      </c>
      <c r="P105" s="298">
        <v>0.15608759842752892</v>
      </c>
      <c r="Q105" s="298">
        <v>0.15608759842752892</v>
      </c>
      <c r="R105" s="298">
        <v>0.15608759842752892</v>
      </c>
      <c r="S105" s="298">
        <v>0.15608759842752892</v>
      </c>
      <c r="T105" s="298">
        <v>0.15608759842752892</v>
      </c>
      <c r="U105" s="298">
        <v>0.15608759842752892</v>
      </c>
    </row>
    <row r="106" spans="1:21" ht="14.4" x14ac:dyDescent="0.3">
      <c r="A106" s="43">
        <v>44</v>
      </c>
      <c r="B106" s="43"/>
      <c r="C106"/>
      <c r="D106" s="298">
        <v>2.9535913908984327E-3</v>
      </c>
      <c r="E106" s="298">
        <v>2.8282311517633229E-3</v>
      </c>
      <c r="F106" s="298">
        <v>2.7032429014683767E-3</v>
      </c>
      <c r="G106" s="298">
        <v>2.5778826623332669E-3</v>
      </c>
      <c r="H106" s="298">
        <v>2.5667229971283612E-3</v>
      </c>
      <c r="I106" s="298">
        <v>2.5667229971283612E-3</v>
      </c>
      <c r="J106" s="298">
        <v>2.5667229971283612E-3</v>
      </c>
      <c r="K106" s="298">
        <v>2.5667229971283612E-3</v>
      </c>
      <c r="L106" s="298">
        <v>2.5667229971283612E-3</v>
      </c>
      <c r="M106" s="298">
        <v>2.5667229971283612E-3</v>
      </c>
      <c r="N106" s="298">
        <v>2.5667229971283612E-3</v>
      </c>
      <c r="O106" s="298">
        <v>2.5667229971283612E-3</v>
      </c>
      <c r="P106" s="298">
        <v>2.5667229971283612E-3</v>
      </c>
      <c r="Q106" s="298">
        <v>2.5667229971283612E-3</v>
      </c>
      <c r="R106" s="298">
        <v>2.5667229971283612E-3</v>
      </c>
      <c r="S106" s="298">
        <v>2.5667229971283612E-3</v>
      </c>
      <c r="T106" s="298">
        <v>2.5667229971283612E-3</v>
      </c>
      <c r="U106" s="298">
        <v>2.5667229971283612E-3</v>
      </c>
    </row>
    <row r="107" spans="1:21" ht="14.4" x14ac:dyDescent="0.3">
      <c r="A107" s="43">
        <v>45</v>
      </c>
      <c r="B107" s="43"/>
      <c r="C107"/>
      <c r="D107" s="298">
        <v>5.62414186424853E-4</v>
      </c>
      <c r="E107" s="298">
        <v>5.385434583612288E-4</v>
      </c>
      <c r="F107" s="298">
        <v>5.1474356331856509E-4</v>
      </c>
      <c r="G107" s="298">
        <v>4.9087283525494089E-4</v>
      </c>
      <c r="H107" s="298">
        <v>4.8874784462613172E-4</v>
      </c>
      <c r="I107" s="298">
        <v>4.8874784462613172E-4</v>
      </c>
      <c r="J107" s="298">
        <v>4.8874784462613172E-4</v>
      </c>
      <c r="K107" s="298">
        <v>4.8874784462613172E-4</v>
      </c>
      <c r="L107" s="298">
        <v>4.8874784462613172E-4</v>
      </c>
      <c r="M107" s="298">
        <v>4.8874784462613172E-4</v>
      </c>
      <c r="N107" s="298">
        <v>4.8874784462613172E-4</v>
      </c>
      <c r="O107" s="298">
        <v>4.8874784462613172E-4</v>
      </c>
      <c r="P107" s="298">
        <v>4.8874784462613172E-4</v>
      </c>
      <c r="Q107" s="298">
        <v>4.8874784462613172E-4</v>
      </c>
      <c r="R107" s="298">
        <v>4.8874784462613172E-4</v>
      </c>
      <c r="S107" s="298">
        <v>4.8874784462613172E-4</v>
      </c>
      <c r="T107" s="298">
        <v>4.8874784462613172E-4</v>
      </c>
      <c r="U107" s="298">
        <v>4.8874784462613172E-4</v>
      </c>
    </row>
    <row r="108" spans="1:21" ht="14.4" x14ac:dyDescent="0.3">
      <c r="A108" s="43">
        <v>46</v>
      </c>
      <c r="B108" s="43"/>
      <c r="C108"/>
      <c r="D108" s="298">
        <v>2.2562469109391674E-3</v>
      </c>
      <c r="E108" s="298">
        <v>2.1604842901600109E-3</v>
      </c>
      <c r="F108" s="298">
        <v>2.0650058314603185E-3</v>
      </c>
      <c r="G108" s="298">
        <v>1.9692432106811625E-3</v>
      </c>
      <c r="H108" s="298">
        <v>1.9607183482972614E-3</v>
      </c>
      <c r="I108" s="298">
        <v>1.9607183482972614E-3</v>
      </c>
      <c r="J108" s="298">
        <v>1.9607183482972614E-3</v>
      </c>
      <c r="K108" s="298">
        <v>1.9607183482972614E-3</v>
      </c>
      <c r="L108" s="298">
        <v>1.9607183482972614E-3</v>
      </c>
      <c r="M108" s="298">
        <v>1.9607183482972614E-3</v>
      </c>
      <c r="N108" s="298">
        <v>1.9607183482972614E-3</v>
      </c>
      <c r="O108" s="298">
        <v>1.9607183482972614E-3</v>
      </c>
      <c r="P108" s="298">
        <v>1.9607183482972614E-3</v>
      </c>
      <c r="Q108" s="298">
        <v>1.9607183482972614E-3</v>
      </c>
      <c r="R108" s="298">
        <v>1.9607183482972614E-3</v>
      </c>
      <c r="S108" s="298">
        <v>1.9607183482972614E-3</v>
      </c>
      <c r="T108" s="298">
        <v>1.9607183482972614E-3</v>
      </c>
      <c r="U108" s="298">
        <v>1.9607183482972614E-3</v>
      </c>
    </row>
    <row r="109" spans="1:21" ht="14.4" x14ac:dyDescent="0.3">
      <c r="A109" s="43">
        <v>47</v>
      </c>
      <c r="B109" s="43"/>
      <c r="C109"/>
      <c r="D109" s="298">
        <v>0.16909722628179949</v>
      </c>
      <c r="E109" s="298">
        <v>0.16192017776077094</v>
      </c>
      <c r="F109" s="298">
        <v>0.15476442611962682</v>
      </c>
      <c r="G109" s="298">
        <v>0.14758737759859827</v>
      </c>
      <c r="H109" s="298">
        <v>0.14694847120206758</v>
      </c>
      <c r="I109" s="298">
        <v>0.14694847120206758</v>
      </c>
      <c r="J109" s="298">
        <v>0.14694847120206758</v>
      </c>
      <c r="K109" s="298">
        <v>0.14694847120206758</v>
      </c>
      <c r="L109" s="298">
        <v>0.14694847120206758</v>
      </c>
      <c r="M109" s="298">
        <v>0.14694847120206758</v>
      </c>
      <c r="N109" s="298">
        <v>0.14694847120206758</v>
      </c>
      <c r="O109" s="298">
        <v>0.14694847120206758</v>
      </c>
      <c r="P109" s="298">
        <v>0.14694847120206758</v>
      </c>
      <c r="Q109" s="298">
        <v>0.14694847120206758</v>
      </c>
      <c r="R109" s="298">
        <v>0.14694847120206758</v>
      </c>
      <c r="S109" s="298">
        <v>0.14694847120206758</v>
      </c>
      <c r="T109" s="298">
        <v>0.14694847120206758</v>
      </c>
      <c r="U109" s="298">
        <v>0.14694847120206758</v>
      </c>
    </row>
    <row r="110" spans="1:21" ht="14.4" x14ac:dyDescent="0.3">
      <c r="A110" s="43">
        <v>48</v>
      </c>
      <c r="B110" s="43"/>
      <c r="C110"/>
      <c r="D110" s="298">
        <v>8.0287041423767705E-4</v>
      </c>
      <c r="E110" s="298">
        <v>7.6879392436386121E-4</v>
      </c>
      <c r="F110" s="298">
        <v>7.348185516706801E-4</v>
      </c>
      <c r="G110" s="298">
        <v>7.0074206179686414E-4</v>
      </c>
      <c r="H110" s="298">
        <v>6.9770854637783025E-4</v>
      </c>
      <c r="I110" s="298">
        <v>6.9770854637783025E-4</v>
      </c>
      <c r="J110" s="298">
        <v>6.9770854637783025E-4</v>
      </c>
      <c r="K110" s="298">
        <v>6.9770854637783025E-4</v>
      </c>
      <c r="L110" s="298">
        <v>6.9770854637783025E-4</v>
      </c>
      <c r="M110" s="298">
        <v>6.9770854637783025E-4</v>
      </c>
      <c r="N110" s="298">
        <v>6.9770854637783025E-4</v>
      </c>
      <c r="O110" s="298">
        <v>6.9770854637783025E-4</v>
      </c>
      <c r="P110" s="298">
        <v>6.9770854637783025E-4</v>
      </c>
      <c r="Q110" s="298">
        <v>6.9770854637783025E-4</v>
      </c>
      <c r="R110" s="298">
        <v>6.9770854637783025E-4</v>
      </c>
      <c r="S110" s="298">
        <v>6.9770854637783025E-4</v>
      </c>
      <c r="T110" s="298">
        <v>6.9770854637783025E-4</v>
      </c>
      <c r="U110" s="298">
        <v>6.9770854637783025E-4</v>
      </c>
    </row>
    <row r="111" spans="1:21" ht="14.4" x14ac:dyDescent="0.3">
      <c r="A111" s="43">
        <v>49</v>
      </c>
      <c r="B111" s="43"/>
      <c r="C111"/>
      <c r="D111" s="298">
        <v>0.14794140874690948</v>
      </c>
      <c r="E111" s="298">
        <v>0.14166228346382276</v>
      </c>
      <c r="F111" s="298">
        <v>0.1354017905999737</v>
      </c>
      <c r="G111" s="298">
        <v>0.12912266531688699</v>
      </c>
      <c r="H111" s="298">
        <v>0.1285636927397576</v>
      </c>
      <c r="I111" s="298">
        <v>0.1285636927397576</v>
      </c>
      <c r="J111" s="298">
        <v>0.1285636927397576</v>
      </c>
      <c r="K111" s="298">
        <v>0.1285636927397576</v>
      </c>
      <c r="L111" s="298">
        <v>0.1285636927397576</v>
      </c>
      <c r="M111" s="298">
        <v>0.1285636927397576</v>
      </c>
      <c r="N111" s="298">
        <v>0.1285636927397576</v>
      </c>
      <c r="O111" s="298">
        <v>0.1285636927397576</v>
      </c>
      <c r="P111" s="298">
        <v>0.1285636927397576</v>
      </c>
      <c r="Q111" s="298">
        <v>0.1285636927397576</v>
      </c>
      <c r="R111" s="298">
        <v>0.1285636927397576</v>
      </c>
      <c r="S111" s="298">
        <v>0.1285636927397576</v>
      </c>
      <c r="T111" s="298">
        <v>0.1285636927397576</v>
      </c>
      <c r="U111" s="298">
        <v>0.1285636927397576</v>
      </c>
    </row>
    <row r="112" spans="1:21" ht="14.4" x14ac:dyDescent="0.3">
      <c r="A112" s="43">
        <v>50</v>
      </c>
      <c r="B112" s="43"/>
      <c r="C112"/>
      <c r="D112" s="298">
        <v>2.2559399315124204E-3</v>
      </c>
      <c r="E112" s="298">
        <v>2.1601903399608223E-3</v>
      </c>
      <c r="F112" s="298">
        <v>2.0647248718262921E-3</v>
      </c>
      <c r="G112" s="298">
        <v>1.9689752802746941E-3</v>
      </c>
      <c r="H112" s="298">
        <v>1.9604515777626825E-3</v>
      </c>
      <c r="I112" s="298">
        <v>1.9604515777626825E-3</v>
      </c>
      <c r="J112" s="298">
        <v>1.9604515777626825E-3</v>
      </c>
      <c r="K112" s="298">
        <v>1.9604515777626825E-3</v>
      </c>
      <c r="L112" s="298">
        <v>1.9604515777626825E-3</v>
      </c>
      <c r="M112" s="298">
        <v>1.9604515777626825E-3</v>
      </c>
      <c r="N112" s="298">
        <v>1.9604515777626825E-3</v>
      </c>
      <c r="O112" s="298">
        <v>1.9604515777626825E-3</v>
      </c>
      <c r="P112" s="298">
        <v>1.9604515777626825E-3</v>
      </c>
      <c r="Q112" s="298">
        <v>1.9604515777626825E-3</v>
      </c>
      <c r="R112" s="298">
        <v>1.9604515777626825E-3</v>
      </c>
      <c r="S112" s="298">
        <v>1.9604515777626825E-3</v>
      </c>
      <c r="T112" s="298">
        <v>1.9604515777626825E-3</v>
      </c>
      <c r="U112" s="298">
        <v>1.9604515777626825E-3</v>
      </c>
    </row>
    <row r="113" spans="2:21" x14ac:dyDescent="0.25">
      <c r="D113" s="51"/>
      <c r="E113" s="32"/>
      <c r="F113" s="32"/>
      <c r="G113" s="32"/>
    </row>
    <row r="114" spans="2:21" x14ac:dyDescent="0.25">
      <c r="B114" s="26" t="s">
        <v>5</v>
      </c>
      <c r="D114" s="32">
        <f t="shared" ref="D114:U114" si="9">SQRT(SUMSQ(D64:D112))</f>
        <v>7.9343393760521677</v>
      </c>
      <c r="E114" s="32">
        <f t="shared" si="9"/>
        <v>7.597579631753729</v>
      </c>
      <c r="F114" s="32">
        <f t="shared" si="9"/>
        <v>7.2618191745303644</v>
      </c>
      <c r="G114" s="32">
        <f t="shared" si="9"/>
        <v>6.9250594302319293</v>
      </c>
      <c r="H114" s="32">
        <f t="shared" si="9"/>
        <v>6.8950808179798431</v>
      </c>
      <c r="I114" s="32">
        <f t="shared" si="9"/>
        <v>6.8950808179798431</v>
      </c>
      <c r="J114" s="32">
        <f t="shared" si="9"/>
        <v>6.8950808179798431</v>
      </c>
      <c r="K114" s="32">
        <f t="shared" si="9"/>
        <v>6.8950808179798431</v>
      </c>
      <c r="L114" s="32">
        <f t="shared" si="9"/>
        <v>6.8950808179798431</v>
      </c>
      <c r="M114" s="32">
        <f t="shared" si="9"/>
        <v>6.8950808179798431</v>
      </c>
      <c r="N114" s="32">
        <f t="shared" si="9"/>
        <v>6.8950808179798431</v>
      </c>
      <c r="O114" s="32">
        <f t="shared" si="9"/>
        <v>6.8950808179798431</v>
      </c>
      <c r="P114" s="32">
        <f t="shared" si="9"/>
        <v>6.8950808179798431</v>
      </c>
      <c r="Q114" s="32">
        <f t="shared" si="9"/>
        <v>6.8950808179798431</v>
      </c>
      <c r="R114" s="32">
        <f t="shared" si="9"/>
        <v>6.8950808179798431</v>
      </c>
      <c r="S114" s="32">
        <f t="shared" si="9"/>
        <v>6.8950808179798431</v>
      </c>
      <c r="T114" s="32">
        <f t="shared" si="9"/>
        <v>6.8950808179798431</v>
      </c>
      <c r="U114" s="32">
        <f t="shared" si="9"/>
        <v>6.8950808179798431</v>
      </c>
    </row>
    <row r="115" spans="2:21" x14ac:dyDescent="0.25">
      <c r="S115" s="82"/>
    </row>
    <row r="116" spans="2:21" x14ac:dyDescent="0.25">
      <c r="D116" s="32"/>
      <c r="E116" s="32"/>
      <c r="F116" s="32"/>
      <c r="G116" s="32"/>
      <c r="H116" s="32"/>
      <c r="I116" s="32"/>
      <c r="M116" s="32"/>
      <c r="N116" s="32"/>
    </row>
    <row r="118" spans="2:21" x14ac:dyDescent="0.25">
      <c r="D118" s="32"/>
      <c r="E118" s="32"/>
      <c r="F118" s="32"/>
      <c r="G118" s="32"/>
      <c r="H118" s="32"/>
      <c r="I118" s="32"/>
    </row>
  </sheetData>
  <pageMargins left="0.75" right="0.75" top="1" bottom="1" header="0.5" footer="0.5"/>
  <pageSetup scale="42" fitToHeight="2" orientation="portrait" r:id="rId1"/>
  <headerFooter alignWithMargins="0">
    <oddHeader>&amp;R&amp;D
&amp;T
rh</oddHeader>
    <oddFooter>&amp;L&amp;F
&amp;A</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U76"/>
  <sheetViews>
    <sheetView showGridLines="0" tabSelected="1" zoomScale="90" zoomScaleNormal="90" workbookViewId="0">
      <selection activeCell="D4" sqref="D4:F4"/>
    </sheetView>
  </sheetViews>
  <sheetFormatPr defaultRowHeight="14.4" x14ac:dyDescent="0.3"/>
  <cols>
    <col min="1" max="1" width="3.5546875" customWidth="1"/>
    <col min="2" max="2" width="8" customWidth="1"/>
    <col min="3" max="3" width="9.33203125" customWidth="1"/>
    <col min="4" max="4" width="10.88671875" customWidth="1"/>
    <col min="5" max="5" width="26.44140625" customWidth="1"/>
    <col min="6" max="6" width="23" customWidth="1"/>
    <col min="7" max="7" width="21.5546875" customWidth="1"/>
    <col min="8" max="8" width="12.6640625" customWidth="1"/>
    <col min="9" max="9" width="21.5546875" customWidth="1"/>
    <col min="10" max="10" width="12.6640625" customWidth="1"/>
    <col min="11" max="11" width="9.109375" customWidth="1"/>
    <col min="12" max="12" width="14.33203125" customWidth="1"/>
    <col min="13" max="14" width="9.109375" customWidth="1"/>
    <col min="15" max="15" width="10.88671875" customWidth="1"/>
    <col min="16" max="16" width="14.6640625" customWidth="1"/>
  </cols>
  <sheetData>
    <row r="1" spans="1:20" ht="13.5" customHeight="1" thickBot="1" x14ac:dyDescent="0.35">
      <c r="A1" s="415"/>
      <c r="B1" s="185"/>
      <c r="C1" s="185"/>
      <c r="D1" s="185"/>
      <c r="E1" s="185"/>
      <c r="F1" s="185"/>
      <c r="G1" s="185"/>
      <c r="H1" s="185"/>
      <c r="I1" s="395" t="s">
        <v>784</v>
      </c>
      <c r="J1" s="396" t="str">
        <f>Instructions!K1</f>
        <v>220705P</v>
      </c>
    </row>
    <row r="2" spans="1:20" ht="60" customHeight="1" thickBot="1" x14ac:dyDescent="0.35">
      <c r="B2" s="186"/>
      <c r="C2" s="187"/>
      <c r="D2" s="188"/>
      <c r="E2" s="550" t="s">
        <v>20</v>
      </c>
      <c r="F2" s="551"/>
      <c r="G2" s="551"/>
      <c r="H2" s="552"/>
      <c r="I2" s="548">
        <f ca="1">TODAY()</f>
        <v>44747</v>
      </c>
      <c r="J2" s="549"/>
      <c r="K2" s="6"/>
    </row>
    <row r="3" spans="1:20" ht="19.5" customHeight="1" thickBot="1" x14ac:dyDescent="0.4">
      <c r="B3" s="189"/>
      <c r="C3" s="189"/>
      <c r="D3" s="189"/>
      <c r="E3" s="190"/>
      <c r="F3" s="190"/>
      <c r="G3" s="204"/>
      <c r="H3" s="204"/>
      <c r="I3" s="185"/>
      <c r="J3" s="185"/>
      <c r="K3" s="6"/>
      <c r="L3" s="522" t="s">
        <v>174</v>
      </c>
      <c r="M3" s="523"/>
      <c r="N3" s="523"/>
      <c r="O3" s="523"/>
      <c r="P3" s="523"/>
      <c r="Q3" s="523"/>
      <c r="R3" s="524"/>
      <c r="S3" s="431"/>
    </row>
    <row r="4" spans="1:20" ht="15.75" customHeight="1" thickBot="1" x14ac:dyDescent="0.35">
      <c r="B4" s="555" t="s">
        <v>211</v>
      </c>
      <c r="C4" s="556"/>
      <c r="D4" s="561"/>
      <c r="E4" s="562"/>
      <c r="F4" s="563"/>
      <c r="G4" s="205" t="s">
        <v>186</v>
      </c>
      <c r="H4" s="145" t="s">
        <v>40</v>
      </c>
      <c r="I4" s="206" t="s">
        <v>41</v>
      </c>
      <c r="J4" s="148">
        <v>60</v>
      </c>
    </row>
    <row r="5" spans="1:20" ht="15.75" customHeight="1" thickBot="1" x14ac:dyDescent="0.35">
      <c r="B5" s="529" t="s">
        <v>720</v>
      </c>
      <c r="C5" s="530"/>
      <c r="D5" s="564"/>
      <c r="E5" s="565"/>
      <c r="F5" s="566"/>
      <c r="G5" s="207" t="s">
        <v>44</v>
      </c>
      <c r="H5" s="146">
        <v>13800</v>
      </c>
      <c r="I5" s="206" t="s">
        <v>46</v>
      </c>
      <c r="J5" s="148"/>
      <c r="L5" s="559"/>
      <c r="M5" s="553" t="s">
        <v>246</v>
      </c>
      <c r="N5" s="553" t="s">
        <v>245</v>
      </c>
      <c r="O5" s="557" t="s">
        <v>797</v>
      </c>
      <c r="P5" s="338" t="s">
        <v>581</v>
      </c>
      <c r="Q5" s="416" t="str">
        <f>Drives!M68</f>
        <v>No power limits exceeded</v>
      </c>
    </row>
    <row r="6" spans="1:20" ht="15" thickBot="1" x14ac:dyDescent="0.35">
      <c r="B6" s="529" t="s">
        <v>719</v>
      </c>
      <c r="C6" s="530"/>
      <c r="D6" s="567"/>
      <c r="E6" s="568"/>
      <c r="F6" s="569"/>
      <c r="G6" s="208" t="s">
        <v>42</v>
      </c>
      <c r="H6" s="147">
        <v>400</v>
      </c>
      <c r="I6" s="207" t="s">
        <v>235</v>
      </c>
      <c r="J6" s="146">
        <v>2000</v>
      </c>
      <c r="L6" s="560"/>
      <c r="M6" s="554"/>
      <c r="N6" s="554"/>
      <c r="O6" s="558"/>
      <c r="P6" s="338" t="str">
        <f>Drives!M69</f>
        <v/>
      </c>
      <c r="R6" s="338"/>
    </row>
    <row r="7" spans="1:20" ht="15" thickBot="1" x14ac:dyDescent="0.35">
      <c r="B7" s="529" t="s">
        <v>212</v>
      </c>
      <c r="C7" s="530"/>
      <c r="D7" s="533"/>
      <c r="E7" s="534"/>
      <c r="F7" s="535"/>
      <c r="G7" s="206" t="s">
        <v>45</v>
      </c>
      <c r="H7" s="148"/>
      <c r="I7" s="207" t="s">
        <v>236</v>
      </c>
      <c r="J7" s="146">
        <v>0.8</v>
      </c>
      <c r="L7" s="125" t="s">
        <v>23</v>
      </c>
      <c r="M7" s="15">
        <f>Power!W21</f>
        <v>16.734790411293499</v>
      </c>
      <c r="N7" s="15">
        <f>Power!Z21</f>
        <v>38.490017945975055</v>
      </c>
      <c r="O7" s="127">
        <f>Power!AC21</f>
        <v>15.035163260146504</v>
      </c>
      <c r="P7" s="338" t="str">
        <f>Drives!M70</f>
        <v/>
      </c>
      <c r="R7" s="338"/>
    </row>
    <row r="8" spans="1:20" ht="15" thickBot="1" x14ac:dyDescent="0.35">
      <c r="B8" s="529" t="s">
        <v>213</v>
      </c>
      <c r="C8" s="530"/>
      <c r="D8" s="533"/>
      <c r="E8" s="534"/>
      <c r="F8" s="535"/>
      <c r="G8" s="207" t="s">
        <v>243</v>
      </c>
      <c r="H8" s="149">
        <v>2000</v>
      </c>
      <c r="I8" s="207" t="s">
        <v>237</v>
      </c>
      <c r="J8" s="151">
        <f>J6/J7</f>
        <v>2500</v>
      </c>
      <c r="L8" s="124" t="s">
        <v>4</v>
      </c>
      <c r="M8" s="128">
        <f>Power!W22</f>
        <v>399.99999999999994</v>
      </c>
      <c r="N8" s="128">
        <f>Power!Z22</f>
        <v>32</v>
      </c>
      <c r="O8" s="129">
        <f>Power!AC22</f>
        <v>12.499999999999998</v>
      </c>
      <c r="P8" s="338" t="str">
        <f>Drives!M71</f>
        <v/>
      </c>
      <c r="Q8" s="9"/>
      <c r="R8" s="338"/>
    </row>
    <row r="9" spans="1:20" ht="15" thickBot="1" x14ac:dyDescent="0.35">
      <c r="B9" s="529" t="s">
        <v>214</v>
      </c>
      <c r="C9" s="530"/>
      <c r="D9" s="533"/>
      <c r="E9" s="534"/>
      <c r="F9" s="535"/>
      <c r="G9" s="207" t="s">
        <v>239</v>
      </c>
      <c r="H9" s="146">
        <v>480</v>
      </c>
      <c r="I9" s="207" t="s">
        <v>238</v>
      </c>
      <c r="J9" s="149">
        <v>480</v>
      </c>
      <c r="P9" s="338" t="str">
        <f>Drives!M72</f>
        <v/>
      </c>
    </row>
    <row r="10" spans="1:20" ht="15" thickBot="1" x14ac:dyDescent="0.35">
      <c r="B10" s="529" t="s">
        <v>215</v>
      </c>
      <c r="C10" s="530"/>
      <c r="D10" s="533"/>
      <c r="E10" s="534"/>
      <c r="F10" s="535"/>
      <c r="G10" s="207" t="s">
        <v>240</v>
      </c>
      <c r="H10" s="146">
        <v>5.75</v>
      </c>
      <c r="I10" s="525" t="s">
        <v>248</v>
      </c>
      <c r="J10" s="527">
        <v>0.2</v>
      </c>
      <c r="P10" s="338" t="str">
        <f>Drives!M73</f>
        <v/>
      </c>
    </row>
    <row r="11" spans="1:20" ht="15" thickBot="1" x14ac:dyDescent="0.35">
      <c r="B11" s="529" t="s">
        <v>216</v>
      </c>
      <c r="C11" s="530"/>
      <c r="D11" s="533"/>
      <c r="E11" s="534"/>
      <c r="F11" s="535"/>
      <c r="G11" s="208" t="s">
        <v>188</v>
      </c>
      <c r="H11" s="512" t="s">
        <v>190</v>
      </c>
      <c r="I11" s="526"/>
      <c r="J11" s="528"/>
      <c r="L11" s="122"/>
      <c r="M11" s="123" t="s">
        <v>244</v>
      </c>
      <c r="N11" s="8"/>
      <c r="P11" s="469" t="s">
        <v>967</v>
      </c>
      <c r="Q11" s="470" t="s">
        <v>137</v>
      </c>
      <c r="R11" s="471" t="s">
        <v>0</v>
      </c>
      <c r="S11" s="470" t="s">
        <v>18</v>
      </c>
      <c r="T11" s="489" t="s">
        <v>176</v>
      </c>
    </row>
    <row r="12" spans="1:20" ht="15" thickBot="1" x14ac:dyDescent="0.35">
      <c r="B12" s="531" t="s">
        <v>234</v>
      </c>
      <c r="C12" s="532"/>
      <c r="D12" s="536"/>
      <c r="E12" s="537"/>
      <c r="F12" s="538"/>
      <c r="G12" s="208" t="s">
        <v>220</v>
      </c>
      <c r="H12" s="508" t="s">
        <v>189</v>
      </c>
      <c r="I12" s="209" t="s">
        <v>220</v>
      </c>
      <c r="J12" s="203" t="s">
        <v>191</v>
      </c>
      <c r="L12" s="125" t="s">
        <v>7</v>
      </c>
      <c r="M12" s="120">
        <f>Power!AF33</f>
        <v>285.71428571428567</v>
      </c>
      <c r="N12" s="8"/>
      <c r="P12" s="125" t="s">
        <v>968</v>
      </c>
      <c r="Q12" s="15">
        <f>Power!B26</f>
        <v>0</v>
      </c>
      <c r="R12" s="12"/>
      <c r="S12" s="488"/>
      <c r="T12" s="482"/>
    </row>
    <row r="13" spans="1:20" ht="15" thickBot="1" x14ac:dyDescent="0.35">
      <c r="B13" s="193"/>
      <c r="C13" s="193"/>
      <c r="D13" s="193"/>
      <c r="E13" s="193"/>
      <c r="F13" s="193"/>
      <c r="G13" s="193"/>
      <c r="H13" s="193"/>
      <c r="I13" s="195"/>
      <c r="J13" s="197"/>
      <c r="L13" s="130" t="s">
        <v>247</v>
      </c>
      <c r="M13" s="120">
        <f>Power!AF34</f>
        <v>15</v>
      </c>
      <c r="P13" s="125" t="s">
        <v>969</v>
      </c>
      <c r="Q13" s="15">
        <f>Power!B27</f>
        <v>0</v>
      </c>
      <c r="R13" s="11"/>
      <c r="S13" s="467"/>
      <c r="T13" s="482"/>
    </row>
    <row r="14" spans="1:20" x14ac:dyDescent="0.3">
      <c r="E14" s="104" t="s">
        <v>965</v>
      </c>
      <c r="F14" s="509" t="s">
        <v>1081</v>
      </c>
      <c r="G14" s="10"/>
      <c r="H14" s="10"/>
      <c r="I14" s="10"/>
      <c r="J14" s="63"/>
      <c r="L14" s="125" t="s">
        <v>217</v>
      </c>
      <c r="M14" s="120">
        <f>Power!AF29</f>
        <v>0</v>
      </c>
      <c r="P14" s="125" t="s">
        <v>970</v>
      </c>
      <c r="Q14" s="15">
        <f>Power!B28</f>
        <v>0</v>
      </c>
      <c r="R14" s="467">
        <f>Power!B19</f>
        <v>0</v>
      </c>
      <c r="S14" s="467">
        <f>Power!B16</f>
        <v>0</v>
      </c>
      <c r="T14" s="490">
        <f>IF(R14=0,1,S14/R14)</f>
        <v>1</v>
      </c>
    </row>
    <row r="15" spans="1:20" x14ac:dyDescent="0.3">
      <c r="E15" s="336" t="s">
        <v>1081</v>
      </c>
      <c r="F15" s="9"/>
      <c r="G15" s="9"/>
      <c r="H15" s="9"/>
      <c r="I15" s="9"/>
      <c r="J15" s="55"/>
      <c r="L15" s="131" t="s">
        <v>219</v>
      </c>
      <c r="M15" s="359" t="str">
        <f>Power!AF35</f>
        <v>PASS</v>
      </c>
      <c r="P15" s="125" t="s">
        <v>971</v>
      </c>
      <c r="Q15" s="15">
        <f>Power!N37</f>
        <v>1683.9382851364085</v>
      </c>
      <c r="R15" s="467">
        <f>Power!N39</f>
        <v>1399.9999999999998</v>
      </c>
      <c r="S15" s="467">
        <f>Power!N40</f>
        <v>1260</v>
      </c>
      <c r="T15" s="490">
        <f>IF(R15=0,1,S15/R15)</f>
        <v>0.90000000000000013</v>
      </c>
    </row>
    <row r="16" spans="1:20" ht="15" thickBot="1" x14ac:dyDescent="0.35">
      <c r="E16" s="495" t="str">
        <f>IF(Drives!N19="UTILITY","    MAX % kVA loading of Transformer","")</f>
        <v xml:space="preserve">    MAX % kVA loading of Transformer</v>
      </c>
      <c r="F16" s="9"/>
      <c r="G16" s="518">
        <v>70</v>
      </c>
      <c r="H16" s="59" t="str">
        <f>IF(Drives!$N$19="UTILITY","%","")</f>
        <v>%</v>
      </c>
      <c r="I16" s="517">
        <v>0.9</v>
      </c>
      <c r="J16" s="506" t="str">
        <f>IF(Drives!$N$19="UTILITY","avg PF","")</f>
        <v>avg PF</v>
      </c>
      <c r="L16" s="124" t="s">
        <v>218</v>
      </c>
      <c r="M16" s="121">
        <f>Power!AF46</f>
        <v>0</v>
      </c>
      <c r="P16" s="125" t="s">
        <v>972</v>
      </c>
      <c r="Q16" s="15">
        <f>Power!T28</f>
        <v>1683.9382851364085</v>
      </c>
      <c r="R16" s="467">
        <f>Power!T19</f>
        <v>1400</v>
      </c>
      <c r="S16" s="467">
        <f>Power!T16</f>
        <v>1260</v>
      </c>
      <c r="T16" s="490">
        <f>IF(R16=0,1,S16/R16)</f>
        <v>0.9</v>
      </c>
    </row>
    <row r="17" spans="1:21" ht="15" thickBot="1" x14ac:dyDescent="0.35">
      <c r="E17" s="335" t="str">
        <f>IF(Drives!N19="GENERATOR","    MAX % kW loading of Generator","")</f>
        <v/>
      </c>
      <c r="F17" s="9"/>
      <c r="G17" s="518">
        <v>100</v>
      </c>
      <c r="H17" s="59" t="str">
        <f>IF(Drives!$N$19="GENERATOR","%","")</f>
        <v/>
      </c>
      <c r="I17" s="517">
        <v>0.9</v>
      </c>
      <c r="J17" s="506" t="str">
        <f>IF(Drives!$N$19="GENERATOR","avg PF","")</f>
        <v/>
      </c>
      <c r="P17" s="472" t="s">
        <v>973</v>
      </c>
      <c r="Q17" s="473">
        <f>Power!AF39</f>
        <v>70</v>
      </c>
      <c r="R17" s="474">
        <f>IF(Drives!N19="UTILITY",Power!AF39,"")</f>
        <v>70</v>
      </c>
      <c r="S17" s="474" t="str">
        <f>IF(Drives!N19="GENERATOR",Power!AF39,"")</f>
        <v/>
      </c>
      <c r="T17" s="491"/>
    </row>
    <row r="18" spans="1:21" ht="15.75" customHeight="1" x14ac:dyDescent="0.3">
      <c r="E18" s="336" t="s">
        <v>1082</v>
      </c>
      <c r="F18" s="9"/>
      <c r="G18" s="9"/>
      <c r="H18" s="9"/>
      <c r="I18" s="9"/>
      <c r="J18" s="55"/>
      <c r="M18" s="468"/>
      <c r="N18" s="468"/>
      <c r="O18" s="468"/>
      <c r="P18" s="468"/>
      <c r="Q18" s="429"/>
      <c r="R18" s="429"/>
      <c r="S18" s="429"/>
    </row>
    <row r="19" spans="1:21" x14ac:dyDescent="0.3">
      <c r="E19" s="335" t="s">
        <v>937</v>
      </c>
      <c r="F19" s="101"/>
      <c r="G19" s="511">
        <v>0</v>
      </c>
      <c r="H19" s="9" t="s">
        <v>574</v>
      </c>
      <c r="I19" s="505">
        <v>0.85</v>
      </c>
      <c r="J19" s="55" t="s">
        <v>1083</v>
      </c>
      <c r="M19" s="9"/>
      <c r="N19" s="9"/>
      <c r="O19" s="9"/>
      <c r="P19" s="415" t="s">
        <v>1140</v>
      </c>
      <c r="Q19" s="430"/>
      <c r="R19" s="430"/>
      <c r="S19" s="430"/>
    </row>
    <row r="20" spans="1:21" x14ac:dyDescent="0.3">
      <c r="E20" s="335" t="s">
        <v>938</v>
      </c>
      <c r="F20" s="9"/>
      <c r="G20" s="511">
        <v>0</v>
      </c>
      <c r="H20" s="9" t="s">
        <v>18</v>
      </c>
      <c r="I20" s="242">
        <v>1</v>
      </c>
      <c r="J20" s="55" t="s">
        <v>176</v>
      </c>
      <c r="L20" s="415"/>
      <c r="N20" s="8"/>
      <c r="O20" s="8"/>
    </row>
    <row r="21" spans="1:21" ht="15.75" customHeight="1" x14ac:dyDescent="0.3">
      <c r="E21" s="507" t="s">
        <v>1084</v>
      </c>
      <c r="F21" s="9"/>
      <c r="G21" s="511">
        <v>0</v>
      </c>
      <c r="H21" s="9" t="s">
        <v>0</v>
      </c>
      <c r="I21" s="505">
        <v>0.9</v>
      </c>
      <c r="J21" s="55" t="s">
        <v>1083</v>
      </c>
      <c r="S21" s="431"/>
    </row>
    <row r="22" spans="1:21" ht="15.6" x14ac:dyDescent="0.3">
      <c r="E22" s="335" t="s">
        <v>939</v>
      </c>
      <c r="F22" s="9"/>
      <c r="G22" s="511">
        <v>0</v>
      </c>
      <c r="H22" s="9" t="s">
        <v>13</v>
      </c>
      <c r="I22" s="505">
        <v>0.9</v>
      </c>
      <c r="J22" s="506" t="s">
        <v>1083</v>
      </c>
      <c r="U22" s="247"/>
    </row>
    <row r="23" spans="1:21" ht="15" thickBot="1" x14ac:dyDescent="0.35">
      <c r="E23" s="64"/>
      <c r="F23" s="62"/>
      <c r="G23" s="62"/>
      <c r="H23" s="62"/>
      <c r="I23" s="62"/>
      <c r="J23" s="65"/>
      <c r="L23" s="510"/>
      <c r="M23" s="103"/>
      <c r="N23" s="59"/>
      <c r="O23" s="9"/>
      <c r="P23" s="9"/>
      <c r="Q23" s="9"/>
    </row>
    <row r="24" spans="1:21" ht="19.5" customHeight="1" thickBot="1" x14ac:dyDescent="0.35">
      <c r="L24" s="522" t="s">
        <v>249</v>
      </c>
      <c r="M24" s="523"/>
      <c r="N24" s="523"/>
      <c r="O24" s="523"/>
      <c r="P24" s="523"/>
      <c r="Q24" s="523"/>
      <c r="R24" s="524"/>
    </row>
    <row r="25" spans="1:21" ht="15" thickBot="1" x14ac:dyDescent="0.35">
      <c r="B25" s="108" t="s">
        <v>47</v>
      </c>
      <c r="C25" s="539" t="s">
        <v>8</v>
      </c>
      <c r="D25" s="540"/>
      <c r="E25" s="541"/>
      <c r="F25" s="109" t="s">
        <v>231</v>
      </c>
      <c r="G25" s="109" t="s">
        <v>516</v>
      </c>
      <c r="H25" s="109" t="s">
        <v>233</v>
      </c>
      <c r="I25" s="109" t="s">
        <v>48</v>
      </c>
      <c r="J25" s="110" t="s">
        <v>510</v>
      </c>
    </row>
    <row r="26" spans="1:21" ht="15" thickBot="1" x14ac:dyDescent="0.35">
      <c r="A26" s="1" t="str">
        <f>Drives!A6</f>
        <v/>
      </c>
      <c r="B26" s="210">
        <v>1</v>
      </c>
      <c r="C26" s="542"/>
      <c r="D26" s="543"/>
      <c r="E26" s="544"/>
      <c r="F26" s="132"/>
      <c r="G26" s="136"/>
      <c r="H26" s="387"/>
      <c r="I26" s="398">
        <v>1</v>
      </c>
      <c r="J26" s="140"/>
      <c r="L26" s="104" t="s">
        <v>130</v>
      </c>
      <c r="M26" s="112"/>
      <c r="N26" s="10"/>
      <c r="O26" s="10"/>
      <c r="P26" s="10"/>
      <c r="Q26" s="63"/>
    </row>
    <row r="27" spans="1:21" ht="15" thickBot="1" x14ac:dyDescent="0.35">
      <c r="A27" s="1" t="str">
        <f>Drives!A7</f>
        <v/>
      </c>
      <c r="B27" s="211">
        <v>2</v>
      </c>
      <c r="C27" s="545"/>
      <c r="D27" s="546"/>
      <c r="E27" s="547"/>
      <c r="F27" s="132"/>
      <c r="G27" s="137"/>
      <c r="H27" s="388"/>
      <c r="I27" s="399">
        <v>1</v>
      </c>
      <c r="J27" s="141"/>
      <c r="L27" s="126" t="s">
        <v>131</v>
      </c>
      <c r="M27" s="99">
        <v>2.3E-2</v>
      </c>
      <c r="N27" s="9" t="s">
        <v>133</v>
      </c>
      <c r="O27" s="9"/>
      <c r="P27" s="9"/>
      <c r="Q27" s="55"/>
    </row>
    <row r="28" spans="1:21" ht="15" thickBot="1" x14ac:dyDescent="0.35">
      <c r="A28" s="1" t="str">
        <f>Drives!A8</f>
        <v/>
      </c>
      <c r="B28" s="211">
        <v>3</v>
      </c>
      <c r="C28" s="545"/>
      <c r="D28" s="546"/>
      <c r="E28" s="547"/>
      <c r="F28" s="132"/>
      <c r="G28" s="137"/>
      <c r="H28" s="388"/>
      <c r="I28" s="399">
        <v>1</v>
      </c>
      <c r="J28" s="141"/>
      <c r="L28" s="126" t="s">
        <v>132</v>
      </c>
      <c r="M28" s="99">
        <v>0.48</v>
      </c>
      <c r="N28" s="9" t="s">
        <v>133</v>
      </c>
      <c r="O28" s="9"/>
      <c r="P28" s="9"/>
      <c r="Q28" s="55"/>
    </row>
    <row r="29" spans="1:21" ht="15" thickBot="1" x14ac:dyDescent="0.35">
      <c r="A29" s="1" t="str">
        <f>Drives!A9</f>
        <v/>
      </c>
      <c r="B29" s="211">
        <v>4</v>
      </c>
      <c r="C29" s="545"/>
      <c r="D29" s="546"/>
      <c r="E29" s="547"/>
      <c r="F29" s="132"/>
      <c r="G29" s="137"/>
      <c r="H29" s="388"/>
      <c r="I29" s="399">
        <v>1</v>
      </c>
      <c r="J29" s="141"/>
      <c r="L29" s="126" t="s">
        <v>368</v>
      </c>
      <c r="M29" s="113">
        <f>M28/M27</f>
        <v>20.869565217391305</v>
      </c>
      <c r="N29" s="113"/>
      <c r="O29" s="9"/>
      <c r="P29" s="114"/>
      <c r="Q29" s="115"/>
    </row>
    <row r="30" spans="1:21" ht="15" thickBot="1" x14ac:dyDescent="0.35">
      <c r="A30" s="1" t="str">
        <f>Drives!A10</f>
        <v/>
      </c>
      <c r="B30" s="211">
        <v>5</v>
      </c>
      <c r="C30" s="545"/>
      <c r="D30" s="546"/>
      <c r="E30" s="547"/>
      <c r="F30" s="132"/>
      <c r="G30" s="137"/>
      <c r="H30" s="388"/>
      <c r="I30" s="399">
        <v>1</v>
      </c>
      <c r="J30" s="142"/>
      <c r="L30" s="126" t="s">
        <v>134</v>
      </c>
      <c r="M30" s="309">
        <f>SQRT(SUMSQ(M27:M28))</f>
        <v>0.48055072573038532</v>
      </c>
      <c r="N30" s="113" t="s">
        <v>133</v>
      </c>
      <c r="O30" s="9"/>
      <c r="P30" s="9"/>
      <c r="Q30" s="115"/>
    </row>
    <row r="31" spans="1:21" ht="15" thickBot="1" x14ac:dyDescent="0.35">
      <c r="A31" s="1" t="str">
        <f>Drives!A11</f>
        <v/>
      </c>
      <c r="B31" s="211">
        <v>6</v>
      </c>
      <c r="C31" s="545"/>
      <c r="D31" s="546"/>
      <c r="E31" s="547"/>
      <c r="F31" s="132"/>
      <c r="G31" s="137"/>
      <c r="H31" s="388"/>
      <c r="I31" s="399">
        <v>1</v>
      </c>
      <c r="J31" s="141"/>
      <c r="L31" s="126" t="s">
        <v>257</v>
      </c>
      <c r="M31" s="9">
        <f>H5</f>
        <v>13800</v>
      </c>
      <c r="N31" s="9" t="s">
        <v>135</v>
      </c>
      <c r="O31" s="9" t="s">
        <v>812</v>
      </c>
      <c r="P31" s="9"/>
      <c r="Q31" s="115"/>
    </row>
    <row r="32" spans="1:21" ht="15" thickBot="1" x14ac:dyDescent="0.35">
      <c r="A32" s="1" t="str">
        <f>Drives!A12</f>
        <v/>
      </c>
      <c r="B32" s="211">
        <v>7</v>
      </c>
      <c r="C32" s="545"/>
      <c r="D32" s="546"/>
      <c r="E32" s="547"/>
      <c r="F32" s="132"/>
      <c r="G32" s="136"/>
      <c r="H32" s="388"/>
      <c r="I32" s="399">
        <v>1</v>
      </c>
      <c r="J32" s="141"/>
      <c r="L32" s="126" t="s">
        <v>136</v>
      </c>
      <c r="M32" s="114">
        <f>M31/(SQRT(3)*M30)</f>
        <v>16579.797486950407</v>
      </c>
      <c r="N32" s="9" t="s">
        <v>137</v>
      </c>
      <c r="O32" s="9"/>
      <c r="P32" s="9"/>
      <c r="Q32" s="115"/>
    </row>
    <row r="33" spans="1:17" ht="15" thickBot="1" x14ac:dyDescent="0.35">
      <c r="A33" s="1" t="str">
        <f>Drives!A13</f>
        <v/>
      </c>
      <c r="B33" s="211">
        <v>8</v>
      </c>
      <c r="C33" s="545"/>
      <c r="D33" s="546"/>
      <c r="E33" s="547"/>
      <c r="F33" s="132"/>
      <c r="G33" s="136"/>
      <c r="H33" s="388"/>
      <c r="I33" s="399">
        <v>1</v>
      </c>
      <c r="J33" s="141"/>
      <c r="L33" s="126" t="s">
        <v>138</v>
      </c>
      <c r="M33" s="20">
        <f>SQRT(3)*M31*M32/1000000</f>
        <v>396.29531244709233</v>
      </c>
      <c r="N33" s="113" t="s">
        <v>39</v>
      </c>
      <c r="O33" s="9"/>
      <c r="P33" s="9"/>
      <c r="Q33" s="115"/>
    </row>
    <row r="34" spans="1:17" ht="15" thickBot="1" x14ac:dyDescent="0.35">
      <c r="A34" s="1" t="str">
        <f>Drives!A14</f>
        <v/>
      </c>
      <c r="B34" s="211">
        <v>9</v>
      </c>
      <c r="C34" s="545"/>
      <c r="D34" s="546"/>
      <c r="E34" s="547"/>
      <c r="F34" s="132"/>
      <c r="G34" s="136"/>
      <c r="H34" s="388"/>
      <c r="I34" s="399">
        <v>1</v>
      </c>
      <c r="J34" s="141"/>
      <c r="L34" s="64"/>
      <c r="M34" s="62" t="s">
        <v>256</v>
      </c>
      <c r="N34" s="62"/>
      <c r="O34" s="62"/>
      <c r="P34" s="62"/>
      <c r="Q34" s="116"/>
    </row>
    <row r="35" spans="1:17" ht="15" thickBot="1" x14ac:dyDescent="0.35">
      <c r="A35" s="1" t="str">
        <f>Drives!A15</f>
        <v/>
      </c>
      <c r="B35" s="211">
        <v>10</v>
      </c>
      <c r="C35" s="545"/>
      <c r="D35" s="546"/>
      <c r="E35" s="547"/>
      <c r="F35" s="132"/>
      <c r="G35" s="136"/>
      <c r="H35" s="388"/>
      <c r="I35" s="399">
        <v>1</v>
      </c>
      <c r="J35" s="142"/>
      <c r="Q35" s="8"/>
    </row>
    <row r="36" spans="1:17" ht="15" thickBot="1" x14ac:dyDescent="0.35">
      <c r="A36" s="1" t="str">
        <f>Drives!A16</f>
        <v/>
      </c>
      <c r="B36" s="211">
        <v>11</v>
      </c>
      <c r="C36" s="545"/>
      <c r="D36" s="546"/>
      <c r="E36" s="547"/>
      <c r="F36" s="132"/>
      <c r="G36" s="136"/>
      <c r="H36" s="388"/>
      <c r="I36" s="399">
        <v>1</v>
      </c>
      <c r="J36" s="141"/>
      <c r="L36" s="104" t="s">
        <v>588</v>
      </c>
      <c r="M36" s="10"/>
      <c r="N36" s="117"/>
      <c r="O36" s="10"/>
      <c r="P36" s="10"/>
      <c r="Q36" s="118"/>
    </row>
    <row r="37" spans="1:17" ht="15" thickBot="1" x14ac:dyDescent="0.35">
      <c r="A37" s="1" t="str">
        <f>Drives!A17</f>
        <v/>
      </c>
      <c r="B37" s="211">
        <v>12</v>
      </c>
      <c r="C37" s="545"/>
      <c r="D37" s="546"/>
      <c r="E37" s="547"/>
      <c r="F37" s="132"/>
      <c r="G37" s="136"/>
      <c r="H37" s="388"/>
      <c r="I37" s="399">
        <v>1</v>
      </c>
      <c r="J37" s="141"/>
      <c r="L37" s="126" t="s">
        <v>136</v>
      </c>
      <c r="M37" s="99">
        <v>5000</v>
      </c>
      <c r="N37" s="113" t="s">
        <v>13</v>
      </c>
      <c r="O37" s="9"/>
      <c r="P37" s="9"/>
      <c r="Q37" s="119"/>
    </row>
    <row r="38" spans="1:17" ht="15" thickBot="1" x14ac:dyDescent="0.35">
      <c r="A38" s="1" t="str">
        <f>Drives!A18</f>
        <v/>
      </c>
      <c r="B38" s="211">
        <v>13</v>
      </c>
      <c r="C38" s="545"/>
      <c r="D38" s="546"/>
      <c r="E38" s="547"/>
      <c r="F38" s="132"/>
      <c r="G38" s="136"/>
      <c r="H38" s="388"/>
      <c r="I38" s="399">
        <v>1</v>
      </c>
      <c r="J38" s="141"/>
      <c r="L38" s="126"/>
      <c r="M38" s="9"/>
      <c r="N38" s="9"/>
      <c r="O38" s="9"/>
      <c r="P38" s="14"/>
      <c r="Q38" s="119"/>
    </row>
    <row r="39" spans="1:17" ht="15" thickBot="1" x14ac:dyDescent="0.35">
      <c r="A39" s="1" t="str">
        <f>Drives!A19</f>
        <v/>
      </c>
      <c r="B39" s="211">
        <v>14</v>
      </c>
      <c r="C39" s="545"/>
      <c r="D39" s="546"/>
      <c r="E39" s="547"/>
      <c r="F39" s="132"/>
      <c r="G39" s="136"/>
      <c r="H39" s="388"/>
      <c r="I39" s="399">
        <v>1</v>
      </c>
      <c r="J39" s="141"/>
      <c r="L39" s="126" t="s">
        <v>257</v>
      </c>
      <c r="M39" s="9">
        <f>H5</f>
        <v>13800</v>
      </c>
      <c r="N39" s="14" t="s">
        <v>135</v>
      </c>
      <c r="O39" s="9" t="s">
        <v>812</v>
      </c>
      <c r="P39" s="9"/>
      <c r="Q39" s="55"/>
    </row>
    <row r="40" spans="1:17" ht="15" thickBot="1" x14ac:dyDescent="0.35">
      <c r="A40" s="1" t="str">
        <f>Drives!A20</f>
        <v/>
      </c>
      <c r="B40" s="211">
        <v>15</v>
      </c>
      <c r="C40" s="545"/>
      <c r="D40" s="546"/>
      <c r="E40" s="547"/>
      <c r="F40" s="132"/>
      <c r="G40" s="136"/>
      <c r="H40" s="389"/>
      <c r="I40" s="399">
        <v>1</v>
      </c>
      <c r="J40" s="142"/>
      <c r="L40" s="126" t="s">
        <v>138</v>
      </c>
      <c r="M40" s="20">
        <f>SQRT(3)*M37*M39/1000000</f>
        <v>119.51150572225254</v>
      </c>
      <c r="N40" s="113" t="s">
        <v>39</v>
      </c>
      <c r="O40" s="9"/>
      <c r="P40" s="9"/>
      <c r="Q40" s="55"/>
    </row>
    <row r="41" spans="1:17" ht="15.75" customHeight="1" thickBot="1" x14ac:dyDescent="0.35">
      <c r="A41" s="1" t="str">
        <f>Drives!A21</f>
        <v/>
      </c>
      <c r="B41" s="211">
        <v>16</v>
      </c>
      <c r="C41" s="545"/>
      <c r="D41" s="546"/>
      <c r="E41" s="547"/>
      <c r="F41" s="132"/>
      <c r="G41" s="137"/>
      <c r="H41" s="388"/>
      <c r="I41" s="399">
        <v>1</v>
      </c>
      <c r="J41" s="141"/>
      <c r="L41" s="64"/>
      <c r="M41" s="62" t="s">
        <v>256</v>
      </c>
      <c r="N41" s="62"/>
      <c r="O41" s="62"/>
      <c r="P41" s="62"/>
      <c r="Q41" s="65"/>
    </row>
    <row r="42" spans="1:17" ht="15" thickBot="1" x14ac:dyDescent="0.35">
      <c r="A42" s="1" t="str">
        <f>Drives!A22</f>
        <v/>
      </c>
      <c r="B42" s="211">
        <v>17</v>
      </c>
      <c r="C42" s="545"/>
      <c r="D42" s="546"/>
      <c r="E42" s="547"/>
      <c r="F42" s="132"/>
      <c r="G42" s="137"/>
      <c r="H42" s="388"/>
      <c r="I42" s="399">
        <v>1</v>
      </c>
      <c r="J42" s="141"/>
    </row>
    <row r="43" spans="1:17" ht="15" thickBot="1" x14ac:dyDescent="0.35">
      <c r="A43" s="1" t="str">
        <f>Drives!A23</f>
        <v/>
      </c>
      <c r="B43" s="211">
        <v>18</v>
      </c>
      <c r="C43" s="545"/>
      <c r="D43" s="546"/>
      <c r="E43" s="547"/>
      <c r="F43" s="132"/>
      <c r="G43" s="137"/>
      <c r="H43" s="388"/>
      <c r="I43" s="399">
        <v>1</v>
      </c>
      <c r="J43" s="141"/>
      <c r="L43" s="104" t="s">
        <v>575</v>
      </c>
      <c r="M43" s="10"/>
      <c r="N43" s="10"/>
      <c r="O43" s="10"/>
      <c r="P43" s="10"/>
      <c r="Q43" s="63"/>
    </row>
    <row r="44" spans="1:17" ht="15" thickBot="1" x14ac:dyDescent="0.35">
      <c r="A44" s="1" t="str">
        <f>Drives!A24</f>
        <v/>
      </c>
      <c r="B44" s="211">
        <v>19</v>
      </c>
      <c r="C44" s="545"/>
      <c r="D44" s="546"/>
      <c r="E44" s="547"/>
      <c r="F44" s="132"/>
      <c r="G44" s="136"/>
      <c r="H44" s="389"/>
      <c r="I44" s="399">
        <v>1</v>
      </c>
      <c r="J44" s="141"/>
      <c r="L44" s="126" t="s">
        <v>576</v>
      </c>
      <c r="M44" s="99">
        <v>100</v>
      </c>
      <c r="N44" s="337" t="s">
        <v>18</v>
      </c>
      <c r="O44" s="9"/>
      <c r="P44" s="9"/>
      <c r="Q44" s="55"/>
    </row>
    <row r="45" spans="1:17" ht="15" thickBot="1" x14ac:dyDescent="0.35">
      <c r="A45" s="1" t="str">
        <f>Drives!A25</f>
        <v/>
      </c>
      <c r="B45" s="211">
        <v>20</v>
      </c>
      <c r="C45" s="545"/>
      <c r="D45" s="546"/>
      <c r="E45" s="547"/>
      <c r="F45" s="132"/>
      <c r="G45" s="136"/>
      <c r="H45" s="388"/>
      <c r="I45" s="399">
        <v>1</v>
      </c>
      <c r="J45" s="142"/>
      <c r="L45" s="126" t="s">
        <v>578</v>
      </c>
      <c r="M45" s="20">
        <f>M44/0.746</f>
        <v>134.04825737265415</v>
      </c>
      <c r="N45" s="9" t="s">
        <v>574</v>
      </c>
      <c r="O45" s="9"/>
      <c r="P45" s="9"/>
      <c r="Q45" s="55"/>
    </row>
    <row r="46" spans="1:17" ht="15" thickBot="1" x14ac:dyDescent="0.35">
      <c r="A46" s="1" t="str">
        <f>Drives!A26</f>
        <v/>
      </c>
      <c r="B46" s="211">
        <v>21</v>
      </c>
      <c r="C46" s="545"/>
      <c r="D46" s="546"/>
      <c r="E46" s="547"/>
      <c r="F46" s="133"/>
      <c r="G46" s="136"/>
      <c r="H46" s="388"/>
      <c r="I46" s="399">
        <v>1</v>
      </c>
      <c r="J46" s="141"/>
      <c r="L46" s="335"/>
      <c r="M46" s="9"/>
      <c r="N46" s="9"/>
      <c r="O46" s="9"/>
      <c r="P46" s="9"/>
      <c r="Q46" s="55"/>
    </row>
    <row r="47" spans="1:17" ht="15" thickBot="1" x14ac:dyDescent="0.35">
      <c r="A47" s="1" t="str">
        <f>Drives!A27</f>
        <v/>
      </c>
      <c r="B47" s="211">
        <v>22</v>
      </c>
      <c r="C47" s="545"/>
      <c r="D47" s="546"/>
      <c r="E47" s="547"/>
      <c r="F47" s="133"/>
      <c r="G47" s="137"/>
      <c r="H47" s="388"/>
      <c r="I47" s="399">
        <v>1</v>
      </c>
      <c r="J47" s="141"/>
      <c r="L47" s="336" t="s">
        <v>796</v>
      </c>
      <c r="M47" s="9"/>
      <c r="N47" s="9"/>
      <c r="O47" s="9"/>
      <c r="P47" s="9"/>
      <c r="Q47" s="55"/>
    </row>
    <row r="48" spans="1:17" ht="15" thickBot="1" x14ac:dyDescent="0.35">
      <c r="A48" s="1" t="str">
        <f>Drives!A28</f>
        <v/>
      </c>
      <c r="B48" s="211">
        <v>23</v>
      </c>
      <c r="C48" s="545"/>
      <c r="D48" s="546"/>
      <c r="E48" s="547"/>
      <c r="F48" s="133"/>
      <c r="G48" s="137"/>
      <c r="H48" s="388"/>
      <c r="I48" s="399">
        <v>1</v>
      </c>
      <c r="J48" s="143"/>
      <c r="L48" s="126" t="s">
        <v>577</v>
      </c>
      <c r="M48" s="99">
        <v>460</v>
      </c>
      <c r="N48" s="9" t="s">
        <v>26</v>
      </c>
      <c r="O48" s="9" t="s">
        <v>798</v>
      </c>
      <c r="P48" s="99">
        <v>0.95</v>
      </c>
      <c r="Q48" s="55"/>
    </row>
    <row r="49" spans="1:19" ht="15" thickBot="1" x14ac:dyDescent="0.35">
      <c r="A49" s="1" t="str">
        <f>Drives!A29</f>
        <v/>
      </c>
      <c r="B49" s="211">
        <v>24</v>
      </c>
      <c r="C49" s="545"/>
      <c r="D49" s="546"/>
      <c r="E49" s="547"/>
      <c r="F49" s="133"/>
      <c r="G49" s="137"/>
      <c r="H49" s="388"/>
      <c r="I49" s="399">
        <v>1</v>
      </c>
      <c r="J49" s="143"/>
      <c r="L49" s="126" t="s">
        <v>579</v>
      </c>
      <c r="M49" s="99">
        <v>124</v>
      </c>
      <c r="N49" s="59" t="s">
        <v>13</v>
      </c>
      <c r="O49" s="9" t="s">
        <v>799</v>
      </c>
      <c r="P49" s="99">
        <v>0.84</v>
      </c>
      <c r="Q49" s="55"/>
    </row>
    <row r="50" spans="1:19" ht="15" thickBot="1" x14ac:dyDescent="0.35">
      <c r="A50" s="1" t="str">
        <f>Drives!A30</f>
        <v/>
      </c>
      <c r="B50" s="211">
        <v>25</v>
      </c>
      <c r="C50" s="545"/>
      <c r="D50" s="546"/>
      <c r="E50" s="547"/>
      <c r="F50" s="133"/>
      <c r="G50" s="137"/>
      <c r="H50" s="388"/>
      <c r="I50" s="399">
        <v>1</v>
      </c>
      <c r="J50" s="143"/>
      <c r="L50" s="126" t="s">
        <v>580</v>
      </c>
      <c r="M50" s="20">
        <f>SQRT(3)*M48*M49*P48*P49/746</f>
        <v>105.68277492607982</v>
      </c>
      <c r="N50" s="59" t="s">
        <v>574</v>
      </c>
      <c r="O50" s="9"/>
      <c r="P50" s="9"/>
      <c r="Q50" s="55"/>
    </row>
    <row r="51" spans="1:19" ht="15" thickBot="1" x14ac:dyDescent="0.35">
      <c r="A51" s="1" t="str">
        <f>Drives!A31</f>
        <v/>
      </c>
      <c r="B51" s="211">
        <v>26</v>
      </c>
      <c r="C51" s="545"/>
      <c r="D51" s="546"/>
      <c r="E51" s="547"/>
      <c r="F51" s="133"/>
      <c r="G51" s="137"/>
      <c r="H51" s="388"/>
      <c r="I51" s="399">
        <v>1</v>
      </c>
      <c r="J51" s="143"/>
      <c r="L51" s="64"/>
      <c r="M51" s="62"/>
      <c r="N51" s="62"/>
      <c r="O51" s="62"/>
      <c r="P51" s="62"/>
      <c r="Q51" s="65"/>
    </row>
    <row r="52" spans="1:19" ht="15" thickBot="1" x14ac:dyDescent="0.35">
      <c r="A52" s="1" t="str">
        <f>Drives!A32</f>
        <v/>
      </c>
      <c r="B52" s="211">
        <v>27</v>
      </c>
      <c r="C52" s="545"/>
      <c r="D52" s="546"/>
      <c r="E52" s="547"/>
      <c r="F52" s="133"/>
      <c r="G52" s="137"/>
      <c r="H52" s="388"/>
      <c r="I52" s="399">
        <v>1</v>
      </c>
      <c r="J52" s="143"/>
    </row>
    <row r="53" spans="1:19" ht="15.75" customHeight="1" thickBot="1" x14ac:dyDescent="0.35">
      <c r="A53" s="1" t="str">
        <f>Drives!A33</f>
        <v/>
      </c>
      <c r="B53" s="211">
        <v>28</v>
      </c>
      <c r="C53" s="545"/>
      <c r="D53" s="546"/>
      <c r="E53" s="547"/>
      <c r="F53" s="133"/>
      <c r="G53" s="137"/>
      <c r="H53" s="388"/>
      <c r="I53" s="399">
        <v>1</v>
      </c>
      <c r="J53" s="142"/>
    </row>
    <row r="54" spans="1:19" ht="15" customHeight="1" thickBot="1" x14ac:dyDescent="0.35">
      <c r="A54" s="1" t="str">
        <f>Drives!A34</f>
        <v/>
      </c>
      <c r="B54" s="211">
        <v>29</v>
      </c>
      <c r="C54" s="545"/>
      <c r="D54" s="546"/>
      <c r="E54" s="547"/>
      <c r="F54" s="133"/>
      <c r="G54" s="137"/>
      <c r="H54" s="388"/>
      <c r="I54" s="399">
        <v>1</v>
      </c>
      <c r="J54" s="142"/>
      <c r="S54" s="431"/>
    </row>
    <row r="55" spans="1:19" ht="18.600000000000001" thickBot="1" x14ac:dyDescent="0.35">
      <c r="A55" s="1" t="str">
        <f>Drives!A35</f>
        <v/>
      </c>
      <c r="B55" s="211">
        <v>30</v>
      </c>
      <c r="C55" s="545"/>
      <c r="D55" s="546"/>
      <c r="E55" s="547"/>
      <c r="F55" s="133"/>
      <c r="G55" s="137"/>
      <c r="H55" s="389"/>
      <c r="I55" s="399">
        <v>1</v>
      </c>
      <c r="J55" s="142"/>
      <c r="L55" s="522" t="s">
        <v>250</v>
      </c>
      <c r="M55" s="523"/>
      <c r="N55" s="523"/>
      <c r="O55" s="523"/>
      <c r="P55" s="523"/>
      <c r="Q55" s="523"/>
      <c r="R55" s="524"/>
    </row>
    <row r="56" spans="1:19" ht="15" thickBot="1" x14ac:dyDescent="0.35">
      <c r="A56" s="1" t="str">
        <f>Drives!A36</f>
        <v/>
      </c>
      <c r="B56" s="211">
        <v>31</v>
      </c>
      <c r="C56" s="545"/>
      <c r="D56" s="546"/>
      <c r="E56" s="547"/>
      <c r="F56" s="133"/>
      <c r="G56" s="137"/>
      <c r="H56" s="388"/>
      <c r="I56" s="399">
        <v>1</v>
      </c>
      <c r="J56" s="142"/>
    </row>
    <row r="57" spans="1:19" ht="15" thickBot="1" x14ac:dyDescent="0.35">
      <c r="A57" s="1" t="str">
        <f>Drives!A37</f>
        <v/>
      </c>
      <c r="B57" s="211">
        <v>32</v>
      </c>
      <c r="C57" s="545"/>
      <c r="D57" s="546"/>
      <c r="E57" s="547"/>
      <c r="F57" s="133"/>
      <c r="G57" s="137"/>
      <c r="H57" s="388"/>
      <c r="I57" s="399">
        <v>1</v>
      </c>
      <c r="J57" s="142"/>
      <c r="L57" s="152"/>
      <c r="M57" t="s">
        <v>251</v>
      </c>
    </row>
    <row r="58" spans="1:19" ht="15.75" customHeight="1" thickBot="1" x14ac:dyDescent="0.35">
      <c r="A58" s="1" t="str">
        <f>Drives!A38</f>
        <v/>
      </c>
      <c r="B58" s="211">
        <v>33</v>
      </c>
      <c r="C58" s="545"/>
      <c r="D58" s="546"/>
      <c r="E58" s="547"/>
      <c r="F58" s="133"/>
      <c r="G58" s="137"/>
      <c r="H58" s="388"/>
      <c r="I58" s="399">
        <v>1</v>
      </c>
      <c r="J58" s="142"/>
      <c r="L58" s="153"/>
      <c r="M58" t="s">
        <v>252</v>
      </c>
    </row>
    <row r="59" spans="1:19" ht="15" thickBot="1" x14ac:dyDescent="0.35">
      <c r="A59" s="1" t="str">
        <f>Drives!A39</f>
        <v/>
      </c>
      <c r="B59" s="211">
        <v>34</v>
      </c>
      <c r="C59" s="545"/>
      <c r="D59" s="546"/>
      <c r="E59" s="547"/>
      <c r="F59" s="133"/>
      <c r="G59" s="137"/>
      <c r="H59" s="388"/>
      <c r="I59" s="399">
        <v>1</v>
      </c>
      <c r="J59" s="142"/>
      <c r="L59" s="12"/>
      <c r="M59" t="s">
        <v>254</v>
      </c>
    </row>
    <row r="60" spans="1:19" ht="15" thickBot="1" x14ac:dyDescent="0.35">
      <c r="A60" s="1" t="str">
        <f>Drives!A40</f>
        <v/>
      </c>
      <c r="B60" s="211">
        <v>35</v>
      </c>
      <c r="C60" s="545"/>
      <c r="D60" s="546"/>
      <c r="E60" s="547"/>
      <c r="F60" s="133"/>
      <c r="G60" s="137"/>
      <c r="H60" s="389"/>
      <c r="I60" s="399">
        <v>1</v>
      </c>
      <c r="J60" s="142"/>
      <c r="L60" s="105"/>
      <c r="M60" t="s">
        <v>253</v>
      </c>
    </row>
    <row r="61" spans="1:19" ht="15" thickBot="1" x14ac:dyDescent="0.35">
      <c r="A61" s="1" t="str">
        <f>Drives!A41</f>
        <v/>
      </c>
      <c r="B61" s="211">
        <v>36</v>
      </c>
      <c r="C61" s="545"/>
      <c r="D61" s="546"/>
      <c r="E61" s="547"/>
      <c r="F61" s="133"/>
      <c r="G61" s="137"/>
      <c r="H61" s="388"/>
      <c r="I61" s="399">
        <v>1</v>
      </c>
      <c r="J61" s="142"/>
      <c r="L61" s="496"/>
      <c r="M61" t="s">
        <v>255</v>
      </c>
    </row>
    <row r="62" spans="1:19" ht="15" thickBot="1" x14ac:dyDescent="0.35">
      <c r="A62" s="1" t="str">
        <f>Drives!A42</f>
        <v/>
      </c>
      <c r="B62" s="211">
        <v>37</v>
      </c>
      <c r="C62" s="545"/>
      <c r="D62" s="546"/>
      <c r="E62" s="547"/>
      <c r="F62" s="133"/>
      <c r="G62" s="137"/>
      <c r="H62" s="388"/>
      <c r="I62" s="399">
        <v>1</v>
      </c>
      <c r="J62" s="142"/>
      <c r="L62" s="432"/>
      <c r="M62" t="s">
        <v>836</v>
      </c>
    </row>
    <row r="63" spans="1:19" ht="15" thickBot="1" x14ac:dyDescent="0.35">
      <c r="A63" s="1" t="str">
        <f>Drives!A43</f>
        <v/>
      </c>
      <c r="B63" s="211">
        <v>38</v>
      </c>
      <c r="C63" s="545"/>
      <c r="D63" s="546"/>
      <c r="E63" s="547"/>
      <c r="F63" s="133"/>
      <c r="G63" s="137"/>
      <c r="H63" s="388"/>
      <c r="I63" s="399">
        <v>1</v>
      </c>
      <c r="J63" s="142"/>
    </row>
    <row r="64" spans="1:19" ht="15" thickBot="1" x14ac:dyDescent="0.35">
      <c r="A64" s="1" t="str">
        <f>Drives!A44</f>
        <v/>
      </c>
      <c r="B64" s="211">
        <v>39</v>
      </c>
      <c r="C64" s="545"/>
      <c r="D64" s="546"/>
      <c r="E64" s="547"/>
      <c r="F64" s="133"/>
      <c r="G64" s="137"/>
      <c r="H64" s="388"/>
      <c r="I64" s="399">
        <v>1</v>
      </c>
      <c r="J64" s="142"/>
      <c r="L64" s="17" t="s">
        <v>360</v>
      </c>
    </row>
    <row r="65" spans="1:13" ht="15" thickBot="1" x14ac:dyDescent="0.35">
      <c r="A65" s="1" t="str">
        <f>Drives!A45</f>
        <v/>
      </c>
      <c r="B65" s="211">
        <v>40</v>
      </c>
      <c r="C65" s="545"/>
      <c r="D65" s="546"/>
      <c r="E65" s="547"/>
      <c r="F65" s="133"/>
      <c r="G65" s="137"/>
      <c r="H65" s="389"/>
      <c r="I65" s="399">
        <v>1</v>
      </c>
      <c r="J65" s="142"/>
      <c r="L65" s="1" t="s">
        <v>373</v>
      </c>
      <c r="M65" t="s">
        <v>361</v>
      </c>
    </row>
    <row r="66" spans="1:13" ht="15" thickBot="1" x14ac:dyDescent="0.35">
      <c r="A66" s="1" t="str">
        <f>Drives!A46</f>
        <v/>
      </c>
      <c r="B66" s="211">
        <v>41</v>
      </c>
      <c r="C66" s="545"/>
      <c r="D66" s="546"/>
      <c r="E66" s="547"/>
      <c r="F66" s="133"/>
      <c r="G66" s="137"/>
      <c r="H66" s="388"/>
      <c r="I66" s="399">
        <v>1</v>
      </c>
      <c r="J66" s="142"/>
    </row>
    <row r="67" spans="1:13" ht="15" thickBot="1" x14ac:dyDescent="0.35">
      <c r="A67" s="1" t="str">
        <f>Drives!A47</f>
        <v/>
      </c>
      <c r="B67" s="211">
        <v>42</v>
      </c>
      <c r="C67" s="545"/>
      <c r="D67" s="546"/>
      <c r="E67" s="547"/>
      <c r="F67" s="133"/>
      <c r="G67" s="137"/>
      <c r="H67" s="388"/>
      <c r="I67" s="399">
        <v>1</v>
      </c>
      <c r="J67" s="142"/>
    </row>
    <row r="68" spans="1:13" ht="15" thickBot="1" x14ac:dyDescent="0.35">
      <c r="A68" s="1" t="str">
        <f>Drives!A48</f>
        <v/>
      </c>
      <c r="B68" s="211">
        <v>43</v>
      </c>
      <c r="C68" s="545" t="s">
        <v>12</v>
      </c>
      <c r="D68" s="546"/>
      <c r="E68" s="547"/>
      <c r="F68" s="133"/>
      <c r="G68" s="137"/>
      <c r="H68" s="388"/>
      <c r="I68" s="399">
        <v>1</v>
      </c>
      <c r="J68" s="142"/>
    </row>
    <row r="69" spans="1:13" ht="15" thickBot="1" x14ac:dyDescent="0.35">
      <c r="A69" s="1" t="str">
        <f>Drives!A49</f>
        <v/>
      </c>
      <c r="B69" s="211">
        <v>44</v>
      </c>
      <c r="C69" s="545"/>
      <c r="D69" s="546"/>
      <c r="E69" s="547"/>
      <c r="F69" s="133"/>
      <c r="G69" s="137"/>
      <c r="H69" s="388"/>
      <c r="I69" s="399">
        <v>1</v>
      </c>
      <c r="J69" s="142"/>
    </row>
    <row r="70" spans="1:13" ht="15" thickBot="1" x14ac:dyDescent="0.35">
      <c r="A70" s="1" t="str">
        <f>Drives!A50</f>
        <v/>
      </c>
      <c r="B70" s="211">
        <v>45</v>
      </c>
      <c r="C70" s="545"/>
      <c r="D70" s="546"/>
      <c r="E70" s="547"/>
      <c r="F70" s="133"/>
      <c r="G70" s="137"/>
      <c r="H70" s="388"/>
      <c r="I70" s="399">
        <v>1</v>
      </c>
      <c r="J70" s="142"/>
    </row>
    <row r="71" spans="1:13" ht="15" thickBot="1" x14ac:dyDescent="0.35">
      <c r="A71" s="1" t="str">
        <f>Drives!A51</f>
        <v/>
      </c>
      <c r="B71" s="211">
        <v>46</v>
      </c>
      <c r="C71" s="545"/>
      <c r="D71" s="546"/>
      <c r="E71" s="547"/>
      <c r="F71" s="133"/>
      <c r="G71" s="137"/>
      <c r="H71" s="388"/>
      <c r="I71" s="399">
        <v>1</v>
      </c>
      <c r="J71" s="142"/>
    </row>
    <row r="72" spans="1:13" ht="15" thickBot="1" x14ac:dyDescent="0.35">
      <c r="A72" s="1" t="str">
        <f>Drives!A52</f>
        <v/>
      </c>
      <c r="B72" s="211">
        <v>47</v>
      </c>
      <c r="C72" s="545"/>
      <c r="D72" s="546"/>
      <c r="E72" s="547"/>
      <c r="F72" s="133"/>
      <c r="G72" s="137"/>
      <c r="H72" s="388"/>
      <c r="I72" s="399">
        <v>1</v>
      </c>
      <c r="J72" s="142"/>
    </row>
    <row r="73" spans="1:13" ht="15" thickBot="1" x14ac:dyDescent="0.35">
      <c r="A73" s="1" t="str">
        <f>Drives!A53</f>
        <v/>
      </c>
      <c r="B73" s="211">
        <v>48</v>
      </c>
      <c r="C73" s="545"/>
      <c r="D73" s="546"/>
      <c r="E73" s="547"/>
      <c r="F73" s="133"/>
      <c r="G73" s="137"/>
      <c r="H73" s="388"/>
      <c r="I73" s="399">
        <v>1</v>
      </c>
      <c r="J73" s="142"/>
    </row>
    <row r="74" spans="1:13" ht="15" thickBot="1" x14ac:dyDescent="0.35">
      <c r="A74" s="1" t="str">
        <f>Drives!A54</f>
        <v/>
      </c>
      <c r="B74" s="211">
        <v>49</v>
      </c>
      <c r="C74" s="545"/>
      <c r="D74" s="546"/>
      <c r="E74" s="547"/>
      <c r="F74" s="134"/>
      <c r="G74" s="137"/>
      <c r="H74" s="388"/>
      <c r="I74" s="399">
        <v>1</v>
      </c>
      <c r="J74" s="142"/>
    </row>
    <row r="75" spans="1:13" ht="15" thickBot="1" x14ac:dyDescent="0.35">
      <c r="A75" s="1" t="str">
        <f>Drives!A55</f>
        <v/>
      </c>
      <c r="B75" s="212">
        <v>50</v>
      </c>
      <c r="C75" s="570"/>
      <c r="D75" s="571"/>
      <c r="E75" s="572"/>
      <c r="F75" s="135"/>
      <c r="G75" s="411"/>
      <c r="H75" s="412"/>
      <c r="I75" s="400">
        <v>1</v>
      </c>
      <c r="J75" s="144"/>
    </row>
    <row r="76" spans="1:13" ht="15" thickBot="1" x14ac:dyDescent="0.35">
      <c r="B76" s="193"/>
      <c r="C76" s="193"/>
      <c r="D76" s="193"/>
      <c r="E76" s="193"/>
      <c r="F76" s="193"/>
      <c r="G76" s="413" t="s">
        <v>813</v>
      </c>
      <c r="H76" s="414">
        <f>SUM(H26:H75)</f>
        <v>0</v>
      </c>
      <c r="I76" s="193"/>
      <c r="J76" s="193"/>
    </row>
  </sheetData>
  <sheetProtection algorithmName="SHA-512" hashValue="AiXI+OEwd6qwE8GUdqEqhsHGMvL7XtxdcJLFQCp/RIL3MbXwCmbO83fqL5OcohNYaG7VWyOszmVDi49sKk1GJg==" saltValue="uO8kqJuVgmDRl7v23q6OAQ==" spinCount="100000" sheet="1" objects="1" scenarios="1"/>
  <mergeCells count="80">
    <mergeCell ref="C71:E71"/>
    <mergeCell ref="C72:E72"/>
    <mergeCell ref="C73:E73"/>
    <mergeCell ref="C74:E74"/>
    <mergeCell ref="C75:E75"/>
    <mergeCell ref="C66:E66"/>
    <mergeCell ref="C67:E67"/>
    <mergeCell ref="C68:E68"/>
    <mergeCell ref="C69:E69"/>
    <mergeCell ref="C70:E70"/>
    <mergeCell ref="C61:E61"/>
    <mergeCell ref="C62:E62"/>
    <mergeCell ref="C63:E63"/>
    <mergeCell ref="C64:E64"/>
    <mergeCell ref="C65:E65"/>
    <mergeCell ref="C56:E56"/>
    <mergeCell ref="C57:E57"/>
    <mergeCell ref="C58:E58"/>
    <mergeCell ref="C59:E59"/>
    <mergeCell ref="C60:E60"/>
    <mergeCell ref="C51:E51"/>
    <mergeCell ref="C52:E52"/>
    <mergeCell ref="C53:E53"/>
    <mergeCell ref="C54:E54"/>
    <mergeCell ref="C55:E55"/>
    <mergeCell ref="C46:E46"/>
    <mergeCell ref="C47:E47"/>
    <mergeCell ref="C48:E48"/>
    <mergeCell ref="C49:E49"/>
    <mergeCell ref="C50:E50"/>
    <mergeCell ref="C41:E41"/>
    <mergeCell ref="C42:E42"/>
    <mergeCell ref="C43:E43"/>
    <mergeCell ref="C44:E44"/>
    <mergeCell ref="C45:E45"/>
    <mergeCell ref="C36:E36"/>
    <mergeCell ref="C37:E37"/>
    <mergeCell ref="C38:E38"/>
    <mergeCell ref="C39:E39"/>
    <mergeCell ref="C40:E40"/>
    <mergeCell ref="L24:R24"/>
    <mergeCell ref="C35:E35"/>
    <mergeCell ref="C32:E32"/>
    <mergeCell ref="C33:E33"/>
    <mergeCell ref="C34:E34"/>
    <mergeCell ref="B7:C7"/>
    <mergeCell ref="B8:C8"/>
    <mergeCell ref="D7:F7"/>
    <mergeCell ref="D8:F8"/>
    <mergeCell ref="B9:C9"/>
    <mergeCell ref="D9:F9"/>
    <mergeCell ref="I2:J2"/>
    <mergeCell ref="E2:H2"/>
    <mergeCell ref="M5:M6"/>
    <mergeCell ref="L3:R3"/>
    <mergeCell ref="B4:C4"/>
    <mergeCell ref="B5:C5"/>
    <mergeCell ref="B6:C6"/>
    <mergeCell ref="N5:N6"/>
    <mergeCell ref="O5:O6"/>
    <mergeCell ref="L5:L6"/>
    <mergeCell ref="D4:F4"/>
    <mergeCell ref="D5:F5"/>
    <mergeCell ref="D6:F6"/>
    <mergeCell ref="L55:R55"/>
    <mergeCell ref="I10:I11"/>
    <mergeCell ref="J10:J11"/>
    <mergeCell ref="B11:C11"/>
    <mergeCell ref="B12:C12"/>
    <mergeCell ref="D11:F11"/>
    <mergeCell ref="D12:F12"/>
    <mergeCell ref="C25:E25"/>
    <mergeCell ref="C26:E26"/>
    <mergeCell ref="C31:E31"/>
    <mergeCell ref="B10:C10"/>
    <mergeCell ref="C27:E27"/>
    <mergeCell ref="C28:E28"/>
    <mergeCell ref="C29:E29"/>
    <mergeCell ref="C30:E30"/>
    <mergeCell ref="D10:F10"/>
  </mergeCells>
  <conditionalFormatting sqref="O5:O8">
    <cfRule type="expression" dxfId="117" priority="168">
      <formula>$H$4="UTILITY"</formula>
    </cfRule>
  </conditionalFormatting>
  <conditionalFormatting sqref="M5:N8">
    <cfRule type="expression" dxfId="116" priority="169">
      <formula>$H$4="GENERATOR"</formula>
    </cfRule>
  </conditionalFormatting>
  <conditionalFormatting sqref="I5:J12">
    <cfRule type="expression" dxfId="115" priority="31">
      <formula>$H$4="UTILITY"</formula>
    </cfRule>
  </conditionalFormatting>
  <conditionalFormatting sqref="G5:H12">
    <cfRule type="expression" dxfId="114" priority="154">
      <formula>$H$4="GENERATOR"</formula>
    </cfRule>
  </conditionalFormatting>
  <conditionalFormatting sqref="M15">
    <cfRule type="containsText" dxfId="113" priority="152" operator="containsText" text="FAIL">
      <formula>NOT(ISERROR(SEARCH("FAIL",M15)))</formula>
    </cfRule>
    <cfRule type="containsText" dxfId="112" priority="153" operator="containsText" text="PASS">
      <formula>NOT(ISERROR(SEARCH("PASS",M15)))</formula>
    </cfRule>
  </conditionalFormatting>
  <conditionalFormatting sqref="G26">
    <cfRule type="expression" dxfId="111" priority="142">
      <formula>$A$26="X"</formula>
    </cfRule>
  </conditionalFormatting>
  <conditionalFormatting sqref="G27">
    <cfRule type="expression" dxfId="110" priority="141">
      <formula>$A$27="X"</formula>
    </cfRule>
  </conditionalFormatting>
  <conditionalFormatting sqref="G28">
    <cfRule type="expression" dxfId="109" priority="140">
      <formula>$A$28="X"</formula>
    </cfRule>
  </conditionalFormatting>
  <conditionalFormatting sqref="G29">
    <cfRule type="expression" dxfId="108" priority="139">
      <formula>$A$29="X"</formula>
    </cfRule>
  </conditionalFormatting>
  <conditionalFormatting sqref="G30">
    <cfRule type="expression" dxfId="107" priority="138">
      <formula>$A$30="X"</formula>
    </cfRule>
  </conditionalFormatting>
  <conditionalFormatting sqref="G31">
    <cfRule type="expression" dxfId="106" priority="137">
      <formula>$A$31="X"</formula>
    </cfRule>
  </conditionalFormatting>
  <conditionalFormatting sqref="G46">
    <cfRule type="expression" dxfId="105" priority="122">
      <formula>$A$46="X"</formula>
    </cfRule>
  </conditionalFormatting>
  <conditionalFormatting sqref="G47">
    <cfRule type="expression" dxfId="104" priority="121">
      <formula>$A$47="X"</formula>
    </cfRule>
  </conditionalFormatting>
  <conditionalFormatting sqref="G48">
    <cfRule type="expression" dxfId="103" priority="120">
      <formula>$A$48="X"</formula>
    </cfRule>
  </conditionalFormatting>
  <conditionalFormatting sqref="G49">
    <cfRule type="expression" dxfId="102" priority="119">
      <formula>$A$49="X"</formula>
    </cfRule>
  </conditionalFormatting>
  <conditionalFormatting sqref="G50:H50">
    <cfRule type="expression" dxfId="101" priority="118">
      <formula>$A$50="X"</formula>
    </cfRule>
  </conditionalFormatting>
  <conditionalFormatting sqref="G51:H51">
    <cfRule type="expression" dxfId="100" priority="117">
      <formula>$A$51="X"</formula>
    </cfRule>
  </conditionalFormatting>
  <conditionalFormatting sqref="G52:H52">
    <cfRule type="expression" dxfId="99" priority="116">
      <formula>$A$52="X"</formula>
    </cfRule>
  </conditionalFormatting>
  <conditionalFormatting sqref="G53:H53">
    <cfRule type="expression" dxfId="98" priority="115">
      <formula>$A$53="X"</formula>
    </cfRule>
  </conditionalFormatting>
  <conditionalFormatting sqref="G54:H54">
    <cfRule type="expression" dxfId="97" priority="114">
      <formula>$A$54="X"</formula>
    </cfRule>
  </conditionalFormatting>
  <conditionalFormatting sqref="G55:H55">
    <cfRule type="expression" dxfId="96" priority="113">
      <formula>$A$55="X"</formula>
    </cfRule>
  </conditionalFormatting>
  <conditionalFormatting sqref="G56:H56">
    <cfRule type="expression" dxfId="95" priority="112">
      <formula>$A$56="X"</formula>
    </cfRule>
  </conditionalFormatting>
  <conditionalFormatting sqref="G57:H57">
    <cfRule type="expression" dxfId="94" priority="111">
      <formula>$A$57="X"</formula>
    </cfRule>
  </conditionalFormatting>
  <conditionalFormatting sqref="G58:H58">
    <cfRule type="expression" dxfId="93" priority="110">
      <formula>$A$58="X"</formula>
    </cfRule>
  </conditionalFormatting>
  <conditionalFormatting sqref="G59:H59">
    <cfRule type="expression" dxfId="92" priority="109">
      <formula>$A$59="X"</formula>
    </cfRule>
  </conditionalFormatting>
  <conditionalFormatting sqref="G60:H60">
    <cfRule type="expression" dxfId="91" priority="108">
      <formula>$A$60="X"</formula>
    </cfRule>
  </conditionalFormatting>
  <conditionalFormatting sqref="G61:H61">
    <cfRule type="expression" dxfId="90" priority="107">
      <formula>$A$61="X"</formula>
    </cfRule>
  </conditionalFormatting>
  <conditionalFormatting sqref="G62:H62">
    <cfRule type="expression" dxfId="89" priority="106">
      <formula>$A$62="X"</formula>
    </cfRule>
  </conditionalFormatting>
  <conditionalFormatting sqref="G63:H63">
    <cfRule type="expression" dxfId="88" priority="105">
      <formula>$A$63="X"</formula>
    </cfRule>
  </conditionalFormatting>
  <conditionalFormatting sqref="G64:H64">
    <cfRule type="expression" dxfId="87" priority="104">
      <formula>$A$64="X"</formula>
    </cfRule>
  </conditionalFormatting>
  <conditionalFormatting sqref="G65:H65">
    <cfRule type="expression" dxfId="86" priority="103">
      <formula>$A$65="X"</formula>
    </cfRule>
  </conditionalFormatting>
  <conditionalFormatting sqref="G66:H66">
    <cfRule type="expression" dxfId="85" priority="102">
      <formula>$A$66="X"</formula>
    </cfRule>
  </conditionalFormatting>
  <conditionalFormatting sqref="G67:H67">
    <cfRule type="expression" dxfId="84" priority="101">
      <formula>$A$67="X"</formula>
    </cfRule>
  </conditionalFormatting>
  <conditionalFormatting sqref="G68:H68">
    <cfRule type="expression" dxfId="83" priority="100">
      <formula>$A$68="X"</formula>
    </cfRule>
  </conditionalFormatting>
  <conditionalFormatting sqref="G69:H69">
    <cfRule type="expression" dxfId="82" priority="99">
      <formula>$A$69="X"</formula>
    </cfRule>
  </conditionalFormatting>
  <conditionalFormatting sqref="G70:H70">
    <cfRule type="expression" dxfId="81" priority="98">
      <formula>$A$70="X"</formula>
    </cfRule>
  </conditionalFormatting>
  <conditionalFormatting sqref="G71:H71">
    <cfRule type="expression" dxfId="80" priority="97">
      <formula>$A$71="X"</formula>
    </cfRule>
  </conditionalFormatting>
  <conditionalFormatting sqref="G72:H72">
    <cfRule type="expression" dxfId="79" priority="96">
      <formula>$A$72="X"</formula>
    </cfRule>
  </conditionalFormatting>
  <conditionalFormatting sqref="G73:H73">
    <cfRule type="expression" dxfId="78" priority="95">
      <formula>$A$73="X"</formula>
    </cfRule>
  </conditionalFormatting>
  <conditionalFormatting sqref="G74:H74">
    <cfRule type="expression" dxfId="77" priority="94">
      <formula>$A$74="X"</formula>
    </cfRule>
  </conditionalFormatting>
  <conditionalFormatting sqref="G75:H75">
    <cfRule type="expression" dxfId="76" priority="93">
      <formula>$A$75="X"</formula>
    </cfRule>
  </conditionalFormatting>
  <conditionalFormatting sqref="H26">
    <cfRule type="expression" dxfId="75" priority="92">
      <formula>$A$26="X"</formula>
    </cfRule>
  </conditionalFormatting>
  <conditionalFormatting sqref="H27">
    <cfRule type="expression" dxfId="74" priority="91">
      <formula>$A$27="X"</formula>
    </cfRule>
  </conditionalFormatting>
  <conditionalFormatting sqref="H28">
    <cfRule type="expression" dxfId="73" priority="90">
      <formula>$A$28="X"</formula>
    </cfRule>
  </conditionalFormatting>
  <conditionalFormatting sqref="H29">
    <cfRule type="expression" dxfId="72" priority="89">
      <formula>$A$29="X"</formula>
    </cfRule>
  </conditionalFormatting>
  <conditionalFormatting sqref="H30">
    <cfRule type="expression" dxfId="71" priority="88">
      <formula>$A$30="X"</formula>
    </cfRule>
  </conditionalFormatting>
  <conditionalFormatting sqref="H31">
    <cfRule type="expression" dxfId="70" priority="87">
      <formula>$A$31="X"</formula>
    </cfRule>
  </conditionalFormatting>
  <conditionalFormatting sqref="H32">
    <cfRule type="expression" dxfId="69" priority="86">
      <formula>$A$32="X"</formula>
    </cfRule>
  </conditionalFormatting>
  <conditionalFormatting sqref="H33">
    <cfRule type="expression" dxfId="68" priority="85">
      <formula>$A$33="X"</formula>
    </cfRule>
  </conditionalFormatting>
  <conditionalFormatting sqref="H34">
    <cfRule type="expression" dxfId="67" priority="84">
      <formula>$A$34="X"</formula>
    </cfRule>
  </conditionalFormatting>
  <conditionalFormatting sqref="H35">
    <cfRule type="expression" dxfId="66" priority="83">
      <formula>$A$35="X"</formula>
    </cfRule>
  </conditionalFormatting>
  <conditionalFormatting sqref="H36">
    <cfRule type="expression" dxfId="65" priority="82">
      <formula>$A$36="X"</formula>
    </cfRule>
  </conditionalFormatting>
  <conditionalFormatting sqref="H37">
    <cfRule type="expression" dxfId="64" priority="81">
      <formula>$A$37="X"</formula>
    </cfRule>
  </conditionalFormatting>
  <conditionalFormatting sqref="H38">
    <cfRule type="expression" dxfId="63" priority="80">
      <formula>$A$38="X"</formula>
    </cfRule>
  </conditionalFormatting>
  <conditionalFormatting sqref="H39">
    <cfRule type="expression" dxfId="62" priority="79">
      <formula>$A$39="X"</formula>
    </cfRule>
  </conditionalFormatting>
  <conditionalFormatting sqref="H40">
    <cfRule type="expression" dxfId="61" priority="78">
      <formula>$A$40="X"</formula>
    </cfRule>
  </conditionalFormatting>
  <conditionalFormatting sqref="H41">
    <cfRule type="expression" dxfId="60" priority="77">
      <formula>$A$41="X"</formula>
    </cfRule>
  </conditionalFormatting>
  <conditionalFormatting sqref="H42">
    <cfRule type="expression" dxfId="59" priority="76">
      <formula>$A$42="X"</formula>
    </cfRule>
  </conditionalFormatting>
  <conditionalFormatting sqref="H43">
    <cfRule type="expression" dxfId="58" priority="75">
      <formula>$A$43="X"</formula>
    </cfRule>
  </conditionalFormatting>
  <conditionalFormatting sqref="H44">
    <cfRule type="expression" dxfId="57" priority="74">
      <formula>$A$44="X"</formula>
    </cfRule>
  </conditionalFormatting>
  <conditionalFormatting sqref="H45">
    <cfRule type="expression" dxfId="56" priority="73">
      <formula>$A$45="X"</formula>
    </cfRule>
  </conditionalFormatting>
  <conditionalFormatting sqref="H46">
    <cfRule type="expression" dxfId="55" priority="72">
      <formula>$A$46="X"</formula>
    </cfRule>
  </conditionalFormatting>
  <conditionalFormatting sqref="H47">
    <cfRule type="expression" dxfId="54" priority="71">
      <formula>$A$47="X"</formula>
    </cfRule>
  </conditionalFormatting>
  <conditionalFormatting sqref="H48">
    <cfRule type="expression" dxfId="53" priority="70">
      <formula>$A$48="X"</formula>
    </cfRule>
  </conditionalFormatting>
  <conditionalFormatting sqref="G40">
    <cfRule type="expression" dxfId="52" priority="61">
      <formula>$A$40="X"</formula>
    </cfRule>
  </conditionalFormatting>
  <conditionalFormatting sqref="G44">
    <cfRule type="expression" dxfId="51" priority="55">
      <formula>$A$44="X"</formula>
    </cfRule>
  </conditionalFormatting>
  <conditionalFormatting sqref="G45">
    <cfRule type="expression" dxfId="50" priority="54">
      <formula>$A$45="X"</formula>
    </cfRule>
  </conditionalFormatting>
  <conditionalFormatting sqref="G43">
    <cfRule type="expression" dxfId="49" priority="53">
      <formula>$A$43="X"</formula>
    </cfRule>
  </conditionalFormatting>
  <conditionalFormatting sqref="G42">
    <cfRule type="expression" dxfId="48" priority="52">
      <formula>$A$42="X"</formula>
    </cfRule>
  </conditionalFormatting>
  <conditionalFormatting sqref="G41">
    <cfRule type="expression" dxfId="47" priority="51">
      <formula>$A$41="X"</formula>
    </cfRule>
  </conditionalFormatting>
  <conditionalFormatting sqref="G39">
    <cfRule type="expression" dxfId="46" priority="50">
      <formula>$A$39="X"</formula>
    </cfRule>
  </conditionalFormatting>
  <conditionalFormatting sqref="G38">
    <cfRule type="expression" dxfId="45" priority="49">
      <formula>$A$38="X"</formula>
    </cfRule>
  </conditionalFormatting>
  <conditionalFormatting sqref="G37">
    <cfRule type="expression" dxfId="44" priority="48">
      <formula>$A$37="X"</formula>
    </cfRule>
  </conditionalFormatting>
  <conditionalFormatting sqref="G36">
    <cfRule type="expression" dxfId="43" priority="47">
      <formula>$A$36="X"</formula>
    </cfRule>
  </conditionalFormatting>
  <conditionalFormatting sqref="G35">
    <cfRule type="expression" dxfId="42" priority="46">
      <formula>$A$35="X"</formula>
    </cfRule>
  </conditionalFormatting>
  <conditionalFormatting sqref="G34">
    <cfRule type="expression" dxfId="41" priority="45">
      <formula>$A$34="X"</formula>
    </cfRule>
  </conditionalFormatting>
  <conditionalFormatting sqref="G33">
    <cfRule type="expression" dxfId="40" priority="44">
      <formula>$A$33="X"</formula>
    </cfRule>
  </conditionalFormatting>
  <conditionalFormatting sqref="G32">
    <cfRule type="expression" dxfId="39" priority="43">
      <formula>$A$32="X"</formula>
    </cfRule>
  </conditionalFormatting>
  <conditionalFormatting sqref="H49">
    <cfRule type="expression" dxfId="38" priority="42">
      <formula>$A$49="X"</formula>
    </cfRule>
  </conditionalFormatting>
  <conditionalFormatting sqref="R16">
    <cfRule type="expression" dxfId="37" priority="39">
      <formula>$P$7&lt;&gt;""</formula>
    </cfRule>
    <cfRule type="expression" dxfId="36" priority="40">
      <formula>$P$10&lt;&gt;""</formula>
    </cfRule>
  </conditionalFormatting>
  <conditionalFormatting sqref="J8">
    <cfRule type="expression" dxfId="35" priority="37">
      <formula>$P$10&lt;&gt;""</formula>
    </cfRule>
  </conditionalFormatting>
  <conditionalFormatting sqref="H8">
    <cfRule type="expression" dxfId="34" priority="36">
      <formula>$P$7&lt;&gt;""</formula>
    </cfRule>
  </conditionalFormatting>
  <conditionalFormatting sqref="S16 J6">
    <cfRule type="expression" dxfId="33" priority="155">
      <formula>$P$9&lt;&gt;""</formula>
    </cfRule>
  </conditionalFormatting>
  <conditionalFormatting sqref="S16">
    <cfRule type="expression" dxfId="32" priority="30">
      <formula>$H$4="UTILITY"</formula>
    </cfRule>
  </conditionalFormatting>
  <conditionalFormatting sqref="G16">
    <cfRule type="expression" dxfId="31" priority="6">
      <formula>$H$4="UTILITY"</formula>
    </cfRule>
    <cfRule type="expression" dxfId="30" priority="33" stopIfTrue="1">
      <formula>$G$16=0</formula>
    </cfRule>
  </conditionalFormatting>
  <conditionalFormatting sqref="R17">
    <cfRule type="expression" priority="28" stopIfTrue="1">
      <formula>$F$14="Itemized"</formula>
    </cfRule>
    <cfRule type="expression" dxfId="29" priority="186">
      <formula>$R$17&gt;100</formula>
    </cfRule>
  </conditionalFormatting>
  <conditionalFormatting sqref="G17">
    <cfRule type="expression" dxfId="28" priority="20" stopIfTrue="1">
      <formula>$G$17=0</formula>
    </cfRule>
  </conditionalFormatting>
  <conditionalFormatting sqref="E19:J22">
    <cfRule type="expression" dxfId="27" priority="187" stopIfTrue="1">
      <formula>$F$14="Max Percent of Source"</formula>
    </cfRule>
  </conditionalFormatting>
  <conditionalFormatting sqref="S17">
    <cfRule type="expression" dxfId="26" priority="22">
      <formula>$S$17&gt;100</formula>
    </cfRule>
    <cfRule type="expression" priority="182" stopIfTrue="1">
      <formula>$F$14="Itemized"</formula>
    </cfRule>
    <cfRule type="expression" priority="190" stopIfTrue="1">
      <formula>$G$17=0</formula>
    </cfRule>
  </conditionalFormatting>
  <conditionalFormatting sqref="G17 I17">
    <cfRule type="expression" dxfId="25" priority="2">
      <formula>$H$4="GENERATOR"</formula>
    </cfRule>
    <cfRule type="expression" dxfId="24" priority="18">
      <formula>$H$4="UTILITY"</formula>
    </cfRule>
  </conditionalFormatting>
  <conditionalFormatting sqref="F17:I17">
    <cfRule type="expression" dxfId="23" priority="9" stopIfTrue="1">
      <formula>$F$14="Itemized"</formula>
    </cfRule>
  </conditionalFormatting>
  <conditionalFormatting sqref="G16 I16">
    <cfRule type="expression" dxfId="22" priority="8">
      <formula>$H$4="GENERATOR"</formula>
    </cfRule>
  </conditionalFormatting>
  <conditionalFormatting sqref="E16:J16">
    <cfRule type="expression" dxfId="21" priority="7" stopIfTrue="1">
      <formula>$F$14="Itemized"</formula>
    </cfRule>
  </conditionalFormatting>
  <conditionalFormatting sqref="I16">
    <cfRule type="expression" dxfId="20" priority="5">
      <formula>$H$4="UTILITY"</formula>
    </cfRule>
  </conditionalFormatting>
  <conditionalFormatting sqref="G17 S17">
    <cfRule type="expression" dxfId="19" priority="191">
      <formula>$S$17&gt;$G$17</formula>
    </cfRule>
  </conditionalFormatting>
  <conditionalFormatting sqref="E17 J17">
    <cfRule type="expression" dxfId="18" priority="1">
      <formula>$F$14="Itemized"</formula>
    </cfRule>
  </conditionalFormatting>
  <dataValidations xWindow="1115" yWindow="280" count="6">
    <dataValidation type="list" allowBlank="1" showInputMessage="1" showErrorMessage="1" sqref="F27:F75" xr:uid="{00000000-0002-0000-0100-000000000000}">
      <formula1>Drive_Sel</formula1>
    </dataValidation>
    <dataValidation type="list" allowBlank="1" showInputMessage="1" showErrorMessage="1" sqref="G27:G75" xr:uid="{00000000-0002-0000-0100-000001000000}">
      <formula1>Filter_Sel</formula1>
    </dataValidation>
    <dataValidation type="list" showErrorMessage="1" sqref="H4" xr:uid="{00000000-0002-0000-0100-000002000000}">
      <formula1>Source_Sel</formula1>
    </dataValidation>
    <dataValidation type="list" allowBlank="1" showErrorMessage="1" sqref="H12" xr:uid="{00000000-0002-0000-0100-000003000000}">
      <formula1>PCC_Sel</formula1>
    </dataValidation>
    <dataValidation type="list" allowBlank="1" showErrorMessage="1" sqref="G26" xr:uid="{00000000-0002-0000-0100-000004000000}">
      <formula1>Filter_Sel</formula1>
    </dataValidation>
    <dataValidation type="list" allowBlank="1" showErrorMessage="1" sqref="F26" xr:uid="{00000000-0002-0000-0100-000005000000}">
      <formula1>Drive_Sel</formula1>
    </dataValidation>
  </dataValidations>
  <pageMargins left="0.5" right="0.25" top="0.5" bottom="0.5" header="0.3" footer="0.3"/>
  <pageSetup scale="60" orientation="portrait" r:id="rId1"/>
  <colBreaks count="1" manualBreakCount="1">
    <brk id="10" min="1" max="66" man="1"/>
  </col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83" id="{00000000-000E-0000-0100-000005000000}">
            <xm:f>$R$17&gt;Power!$AF$37</xm:f>
            <x14:dxf>
              <fill>
                <patternFill>
                  <bgColor rgb="FFFF7C80"/>
                </patternFill>
              </fill>
            </x14:dxf>
          </x14:cfRule>
          <xm:sqref>R17 G16</xm:sqref>
        </x14:conditionalFormatting>
        <x14:conditionalFormatting xmlns:xm="http://schemas.microsoft.com/office/excel/2006/main">
          <x14:cfRule type="expression" priority="4" stopIfTrue="1" id="{F32C7622-5547-42A4-A51F-A414DDDD8F34}">
            <xm:f>Drives!$N$19="GENERATOR"</xm:f>
            <x14:dxf>
              <fill>
                <patternFill>
                  <bgColor theme="0"/>
                </patternFill>
              </fill>
            </x14:dxf>
          </x14:cfRule>
          <x14:cfRule type="expression" priority="24" stopIfTrue="1" id="{D613C97D-5803-4914-BEAE-EF1A60302388}">
            <xm:f>Power!$AF$37=0</xm:f>
            <x14:dxf>
              <fill>
                <patternFill>
                  <bgColor theme="0"/>
                </patternFill>
              </fill>
            </x14:dxf>
          </x14:cfRule>
          <xm:sqref>R17</xm:sqref>
        </x14:conditionalFormatting>
        <x14:conditionalFormatting xmlns:xm="http://schemas.microsoft.com/office/excel/2006/main">
          <x14:cfRule type="expression" priority="3" stopIfTrue="1" id="{3B414D34-C612-475E-A9E3-0A8C8784AB6B}">
            <xm:f>Drives!$N$19="UTILITY"</xm:f>
            <x14:dxf>
              <fill>
                <patternFill>
                  <bgColor theme="0"/>
                </patternFill>
              </fill>
            </x14:dxf>
          </x14:cfRule>
          <xm:sqref>S17</xm:sqref>
        </x14:conditionalFormatting>
      </x14:conditionalFormattings>
    </ext>
    <ext xmlns:x14="http://schemas.microsoft.com/office/spreadsheetml/2009/9/main" uri="{CCE6A557-97BC-4b89-ADB6-D9C93CAAB3DF}">
      <x14:dataValidations xmlns:xm="http://schemas.microsoft.com/office/excel/2006/main" xWindow="1115" yWindow="280" count="1">
        <x14:dataValidation type="list" showInputMessage="1" showErrorMessage="1" xr:uid="{8135A2C6-2433-41D9-BF03-DEDBB0C63A95}">
          <x14:formula1>
            <xm:f>Drives!$M$34:$M$35</xm:f>
          </x14:formula1>
          <xm:sqref>F14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U118"/>
  <sheetViews>
    <sheetView workbookViewId="0"/>
  </sheetViews>
  <sheetFormatPr defaultRowHeight="13.2" x14ac:dyDescent="0.25"/>
  <cols>
    <col min="1" max="6" width="9.109375" style="26"/>
    <col min="7" max="7" width="9.109375" style="26" customWidth="1"/>
    <col min="8" max="8" width="10.6640625" style="26" customWidth="1"/>
    <col min="9" max="262" width="9.109375" style="26"/>
    <col min="263" max="263" width="9.5546875" style="26" bestFit="1" customWidth="1"/>
    <col min="264" max="264" width="10.6640625" style="26" customWidth="1"/>
    <col min="265" max="518" width="9.109375" style="26"/>
    <col min="519" max="519" width="9.5546875" style="26" bestFit="1" customWidth="1"/>
    <col min="520" max="520" width="10.6640625" style="26" customWidth="1"/>
    <col min="521" max="774" width="9.109375" style="26"/>
    <col min="775" max="775" width="9.5546875" style="26" bestFit="1" customWidth="1"/>
    <col min="776" max="776" width="10.6640625" style="26" customWidth="1"/>
    <col min="777" max="1030" width="9.109375" style="26"/>
    <col min="1031" max="1031" width="9.5546875" style="26" bestFit="1" customWidth="1"/>
    <col min="1032" max="1032" width="10.6640625" style="26" customWidth="1"/>
    <col min="1033" max="1286" width="9.109375" style="26"/>
    <col min="1287" max="1287" width="9.5546875" style="26" bestFit="1" customWidth="1"/>
    <col min="1288" max="1288" width="10.6640625" style="26" customWidth="1"/>
    <col min="1289" max="1542" width="9.109375" style="26"/>
    <col min="1543" max="1543" width="9.5546875" style="26" bestFit="1" customWidth="1"/>
    <col min="1544" max="1544" width="10.6640625" style="26" customWidth="1"/>
    <col min="1545" max="1798" width="9.109375" style="26"/>
    <col min="1799" max="1799" width="9.5546875" style="26" bestFit="1" customWidth="1"/>
    <col min="1800" max="1800" width="10.6640625" style="26" customWidth="1"/>
    <col min="1801" max="2054" width="9.109375" style="26"/>
    <col min="2055" max="2055" width="9.5546875" style="26" bestFit="1" customWidth="1"/>
    <col min="2056" max="2056" width="10.6640625" style="26" customWidth="1"/>
    <col min="2057" max="2310" width="9.109375" style="26"/>
    <col min="2311" max="2311" width="9.5546875" style="26" bestFit="1" customWidth="1"/>
    <col min="2312" max="2312" width="10.6640625" style="26" customWidth="1"/>
    <col min="2313" max="2566" width="9.109375" style="26"/>
    <col min="2567" max="2567" width="9.5546875" style="26" bestFit="1" customWidth="1"/>
    <col min="2568" max="2568" width="10.6640625" style="26" customWidth="1"/>
    <col min="2569" max="2822" width="9.109375" style="26"/>
    <col min="2823" max="2823" width="9.5546875" style="26" bestFit="1" customWidth="1"/>
    <col min="2824" max="2824" width="10.6640625" style="26" customWidth="1"/>
    <col min="2825" max="3078" width="9.109375" style="26"/>
    <col min="3079" max="3079" width="9.5546875" style="26" bestFit="1" customWidth="1"/>
    <col min="3080" max="3080" width="10.6640625" style="26" customWidth="1"/>
    <col min="3081" max="3334" width="9.109375" style="26"/>
    <col min="3335" max="3335" width="9.5546875" style="26" bestFit="1" customWidth="1"/>
    <col min="3336" max="3336" width="10.6640625" style="26" customWidth="1"/>
    <col min="3337" max="3590" width="9.109375" style="26"/>
    <col min="3591" max="3591" width="9.5546875" style="26" bestFit="1" customWidth="1"/>
    <col min="3592" max="3592" width="10.6640625" style="26" customWidth="1"/>
    <col min="3593" max="3846" width="9.109375" style="26"/>
    <col min="3847" max="3847" width="9.5546875" style="26" bestFit="1" customWidth="1"/>
    <col min="3848" max="3848" width="10.6640625" style="26" customWidth="1"/>
    <col min="3849" max="4102" width="9.109375" style="26"/>
    <col min="4103" max="4103" width="9.5546875" style="26" bestFit="1" customWidth="1"/>
    <col min="4104" max="4104" width="10.6640625" style="26" customWidth="1"/>
    <col min="4105" max="4358" width="9.109375" style="26"/>
    <col min="4359" max="4359" width="9.5546875" style="26" bestFit="1" customWidth="1"/>
    <col min="4360" max="4360" width="10.6640625" style="26" customWidth="1"/>
    <col min="4361" max="4614" width="9.109375" style="26"/>
    <col min="4615" max="4615" width="9.5546875" style="26" bestFit="1" customWidth="1"/>
    <col min="4616" max="4616" width="10.6640625" style="26" customWidth="1"/>
    <col min="4617" max="4870" width="9.109375" style="26"/>
    <col min="4871" max="4871" width="9.5546875" style="26" bestFit="1" customWidth="1"/>
    <col min="4872" max="4872" width="10.6640625" style="26" customWidth="1"/>
    <col min="4873" max="5126" width="9.109375" style="26"/>
    <col min="5127" max="5127" width="9.5546875" style="26" bestFit="1" customWidth="1"/>
    <col min="5128" max="5128" width="10.6640625" style="26" customWidth="1"/>
    <col min="5129" max="5382" width="9.109375" style="26"/>
    <col min="5383" max="5383" width="9.5546875" style="26" bestFit="1" customWidth="1"/>
    <col min="5384" max="5384" width="10.6640625" style="26" customWidth="1"/>
    <col min="5385" max="5638" width="9.109375" style="26"/>
    <col min="5639" max="5639" width="9.5546875" style="26" bestFit="1" customWidth="1"/>
    <col min="5640" max="5640" width="10.6640625" style="26" customWidth="1"/>
    <col min="5641" max="5894" width="9.109375" style="26"/>
    <col min="5895" max="5895" width="9.5546875" style="26" bestFit="1" customWidth="1"/>
    <col min="5896" max="5896" width="10.6640625" style="26" customWidth="1"/>
    <col min="5897" max="6150" width="9.109375" style="26"/>
    <col min="6151" max="6151" width="9.5546875" style="26" bestFit="1" customWidth="1"/>
    <col min="6152" max="6152" width="10.6640625" style="26" customWidth="1"/>
    <col min="6153" max="6406" width="9.109375" style="26"/>
    <col min="6407" max="6407" width="9.5546875" style="26" bestFit="1" customWidth="1"/>
    <col min="6408" max="6408" width="10.6640625" style="26" customWidth="1"/>
    <col min="6409" max="6662" width="9.109375" style="26"/>
    <col min="6663" max="6663" width="9.5546875" style="26" bestFit="1" customWidth="1"/>
    <col min="6664" max="6664" width="10.6640625" style="26" customWidth="1"/>
    <col min="6665" max="6918" width="9.109375" style="26"/>
    <col min="6919" max="6919" width="9.5546875" style="26" bestFit="1" customWidth="1"/>
    <col min="6920" max="6920" width="10.6640625" style="26" customWidth="1"/>
    <col min="6921" max="7174" width="9.109375" style="26"/>
    <col min="7175" max="7175" width="9.5546875" style="26" bestFit="1" customWidth="1"/>
    <col min="7176" max="7176" width="10.6640625" style="26" customWidth="1"/>
    <col min="7177" max="7430" width="9.109375" style="26"/>
    <col min="7431" max="7431" width="9.5546875" style="26" bestFit="1" customWidth="1"/>
    <col min="7432" max="7432" width="10.6640625" style="26" customWidth="1"/>
    <col min="7433" max="7686" width="9.109375" style="26"/>
    <col min="7687" max="7687" width="9.5546875" style="26" bestFit="1" customWidth="1"/>
    <col min="7688" max="7688" width="10.6640625" style="26" customWidth="1"/>
    <col min="7689" max="7942" width="9.109375" style="26"/>
    <col min="7943" max="7943" width="9.5546875" style="26" bestFit="1" customWidth="1"/>
    <col min="7944" max="7944" width="10.6640625" style="26" customWidth="1"/>
    <col min="7945" max="8198" width="9.109375" style="26"/>
    <col min="8199" max="8199" width="9.5546875" style="26" bestFit="1" customWidth="1"/>
    <col min="8200" max="8200" width="10.6640625" style="26" customWidth="1"/>
    <col min="8201" max="8454" width="9.109375" style="26"/>
    <col min="8455" max="8455" width="9.5546875" style="26" bestFit="1" customWidth="1"/>
    <col min="8456" max="8456" width="10.6640625" style="26" customWidth="1"/>
    <col min="8457" max="8710" width="9.109375" style="26"/>
    <col min="8711" max="8711" width="9.5546875" style="26" bestFit="1" customWidth="1"/>
    <col min="8712" max="8712" width="10.6640625" style="26" customWidth="1"/>
    <col min="8713" max="8966" width="9.109375" style="26"/>
    <col min="8967" max="8967" width="9.5546875" style="26" bestFit="1" customWidth="1"/>
    <col min="8968" max="8968" width="10.6640625" style="26" customWidth="1"/>
    <col min="8969" max="9222" width="9.109375" style="26"/>
    <col min="9223" max="9223" width="9.5546875" style="26" bestFit="1" customWidth="1"/>
    <col min="9224" max="9224" width="10.6640625" style="26" customWidth="1"/>
    <col min="9225" max="9478" width="9.109375" style="26"/>
    <col min="9479" max="9479" width="9.5546875" style="26" bestFit="1" customWidth="1"/>
    <col min="9480" max="9480" width="10.6640625" style="26" customWidth="1"/>
    <col min="9481" max="9734" width="9.109375" style="26"/>
    <col min="9735" max="9735" width="9.5546875" style="26" bestFit="1" customWidth="1"/>
    <col min="9736" max="9736" width="10.6640625" style="26" customWidth="1"/>
    <col min="9737" max="9990" width="9.109375" style="26"/>
    <col min="9991" max="9991" width="9.5546875" style="26" bestFit="1" customWidth="1"/>
    <col min="9992" max="9992" width="10.6640625" style="26" customWidth="1"/>
    <col min="9993" max="10246" width="9.109375" style="26"/>
    <col min="10247" max="10247" width="9.5546875" style="26" bestFit="1" customWidth="1"/>
    <col min="10248" max="10248" width="10.6640625" style="26" customWidth="1"/>
    <col min="10249" max="10502" width="9.109375" style="26"/>
    <col min="10503" max="10503" width="9.5546875" style="26" bestFit="1" customWidth="1"/>
    <col min="10504" max="10504" width="10.6640625" style="26" customWidth="1"/>
    <col min="10505" max="10758" width="9.109375" style="26"/>
    <col min="10759" max="10759" width="9.5546875" style="26" bestFit="1" customWidth="1"/>
    <col min="10760" max="10760" width="10.6640625" style="26" customWidth="1"/>
    <col min="10761" max="11014" width="9.109375" style="26"/>
    <col min="11015" max="11015" width="9.5546875" style="26" bestFit="1" customWidth="1"/>
    <col min="11016" max="11016" width="10.6640625" style="26" customWidth="1"/>
    <col min="11017" max="11270" width="9.109375" style="26"/>
    <col min="11271" max="11271" width="9.5546875" style="26" bestFit="1" customWidth="1"/>
    <col min="11272" max="11272" width="10.6640625" style="26" customWidth="1"/>
    <col min="11273" max="11526" width="9.109375" style="26"/>
    <col min="11527" max="11527" width="9.5546875" style="26" bestFit="1" customWidth="1"/>
    <col min="11528" max="11528" width="10.6640625" style="26" customWidth="1"/>
    <col min="11529" max="11782" width="9.109375" style="26"/>
    <col min="11783" max="11783" width="9.5546875" style="26" bestFit="1" customWidth="1"/>
    <col min="11784" max="11784" width="10.6640625" style="26" customWidth="1"/>
    <col min="11785" max="12038" width="9.109375" style="26"/>
    <col min="12039" max="12039" width="9.5546875" style="26" bestFit="1" customWidth="1"/>
    <col min="12040" max="12040" width="10.6640625" style="26" customWidth="1"/>
    <col min="12041" max="12294" width="9.109375" style="26"/>
    <col min="12295" max="12295" width="9.5546875" style="26" bestFit="1" customWidth="1"/>
    <col min="12296" max="12296" width="10.6640625" style="26" customWidth="1"/>
    <col min="12297" max="12550" width="9.109375" style="26"/>
    <col min="12551" max="12551" width="9.5546875" style="26" bestFit="1" customWidth="1"/>
    <col min="12552" max="12552" width="10.6640625" style="26" customWidth="1"/>
    <col min="12553" max="12806" width="9.109375" style="26"/>
    <col min="12807" max="12807" width="9.5546875" style="26" bestFit="1" customWidth="1"/>
    <col min="12808" max="12808" width="10.6640625" style="26" customWidth="1"/>
    <col min="12809" max="13062" width="9.109375" style="26"/>
    <col min="13063" max="13063" width="9.5546875" style="26" bestFit="1" customWidth="1"/>
    <col min="13064" max="13064" width="10.6640625" style="26" customWidth="1"/>
    <col min="13065" max="13318" width="9.109375" style="26"/>
    <col min="13319" max="13319" width="9.5546875" style="26" bestFit="1" customWidth="1"/>
    <col min="13320" max="13320" width="10.6640625" style="26" customWidth="1"/>
    <col min="13321" max="13574" width="9.109375" style="26"/>
    <col min="13575" max="13575" width="9.5546875" style="26" bestFit="1" customWidth="1"/>
    <col min="13576" max="13576" width="10.6640625" style="26" customWidth="1"/>
    <col min="13577" max="13830" width="9.109375" style="26"/>
    <col min="13831" max="13831" width="9.5546875" style="26" bestFit="1" customWidth="1"/>
    <col min="13832" max="13832" width="10.6640625" style="26" customWidth="1"/>
    <col min="13833" max="14086" width="9.109375" style="26"/>
    <col min="14087" max="14087" width="9.5546875" style="26" bestFit="1" customWidth="1"/>
    <col min="14088" max="14088" width="10.6640625" style="26" customWidth="1"/>
    <col min="14089" max="14342" width="9.109375" style="26"/>
    <col min="14343" max="14343" width="9.5546875" style="26" bestFit="1" customWidth="1"/>
    <col min="14344" max="14344" width="10.6640625" style="26" customWidth="1"/>
    <col min="14345" max="14598" width="9.109375" style="26"/>
    <col min="14599" max="14599" width="9.5546875" style="26" bestFit="1" customWidth="1"/>
    <col min="14600" max="14600" width="10.6640625" style="26" customWidth="1"/>
    <col min="14601" max="14854" width="9.109375" style="26"/>
    <col min="14855" max="14855" width="9.5546875" style="26" bestFit="1" customWidth="1"/>
    <col min="14856" max="14856" width="10.6640625" style="26" customWidth="1"/>
    <col min="14857" max="15110" width="9.109375" style="26"/>
    <col min="15111" max="15111" width="9.5546875" style="26" bestFit="1" customWidth="1"/>
    <col min="15112" max="15112" width="10.6640625" style="26" customWidth="1"/>
    <col min="15113" max="15366" width="9.109375" style="26"/>
    <col min="15367" max="15367" width="9.5546875" style="26" bestFit="1" customWidth="1"/>
    <col min="15368" max="15368" width="10.6640625" style="26" customWidth="1"/>
    <col min="15369" max="15622" width="9.109375" style="26"/>
    <col min="15623" max="15623" width="9.5546875" style="26" bestFit="1" customWidth="1"/>
    <col min="15624" max="15624" width="10.6640625" style="26" customWidth="1"/>
    <col min="15625" max="15878" width="9.109375" style="26"/>
    <col min="15879" max="15879" width="9.5546875" style="26" bestFit="1" customWidth="1"/>
    <col min="15880" max="15880" width="10.6640625" style="26" customWidth="1"/>
    <col min="15881" max="16134" width="9.109375" style="26"/>
    <col min="16135" max="16135" width="9.5546875" style="26" bestFit="1" customWidth="1"/>
    <col min="16136" max="16136" width="10.6640625" style="26" customWidth="1"/>
    <col min="16137" max="16384" width="9.109375" style="26"/>
  </cols>
  <sheetData>
    <row r="1" spans="1:21" ht="13.8" thickBot="1" x14ac:dyDescent="0.3">
      <c r="A1" s="84" t="s">
        <v>277</v>
      </c>
      <c r="B1" s="275" t="s">
        <v>402</v>
      </c>
      <c r="C1" s="33">
        <f>Drives!BA14</f>
        <v>38490.017945975058</v>
      </c>
      <c r="D1" s="28" t="s">
        <v>7</v>
      </c>
      <c r="E1" s="300">
        <v>0</v>
      </c>
      <c r="F1" s="297">
        <f>MAX(0.1,E1+100/C1)</f>
        <v>0.1</v>
      </c>
      <c r="G1" s="36" t="s">
        <v>1</v>
      </c>
      <c r="H1" s="81">
        <f>J17</f>
        <v>0</v>
      </c>
      <c r="I1" s="54" t="s">
        <v>13</v>
      </c>
      <c r="J1" s="34">
        <f>Drives!Z14</f>
        <v>0</v>
      </c>
      <c r="K1" s="26" t="s">
        <v>84</v>
      </c>
      <c r="N1" s="256">
        <v>0.999</v>
      </c>
      <c r="O1" s="82" t="s">
        <v>176</v>
      </c>
      <c r="P1" s="333" t="s">
        <v>566</v>
      </c>
      <c r="Q1" s="82"/>
      <c r="R1" s="82"/>
      <c r="S1" s="82"/>
      <c r="T1" s="82"/>
      <c r="U1" s="82"/>
    </row>
    <row r="2" spans="1:21" x14ac:dyDescent="0.25">
      <c r="A2" s="272" t="s">
        <v>88</v>
      </c>
      <c r="B2" s="276">
        <v>14</v>
      </c>
      <c r="D2" s="26">
        <f>C4+1</f>
        <v>1</v>
      </c>
      <c r="E2" s="27">
        <f>F1-C3</f>
        <v>0</v>
      </c>
      <c r="J2" s="29">
        <f>-0.2063*J1^2+0.0812*J1+1.1253-0.0002</f>
        <v>1.1251</v>
      </c>
      <c r="K2" s="26" t="s">
        <v>60</v>
      </c>
      <c r="N2" s="82"/>
      <c r="O2" s="82"/>
      <c r="P2" s="82"/>
      <c r="Q2" s="82"/>
      <c r="R2" s="83"/>
      <c r="S2" s="82"/>
      <c r="T2" s="82"/>
      <c r="U2" s="82"/>
    </row>
    <row r="3" spans="1:21" ht="13.8" thickBot="1" x14ac:dyDescent="0.3">
      <c r="A3" s="43" t="s">
        <v>89</v>
      </c>
      <c r="C3" s="41">
        <f>HLOOKUP($F$1,$D$62:$U$113,(B3+1))</f>
        <v>0.1</v>
      </c>
      <c r="D3" s="41">
        <f>HLOOKUP($D$2,$D$61:$U$113,(B3+2))</f>
        <v>0.5</v>
      </c>
      <c r="E3" s="26">
        <f>D3-C3</f>
        <v>0.4</v>
      </c>
      <c r="F3" s="26">
        <f>IF(E3=0,1,E2/E3)</f>
        <v>0</v>
      </c>
      <c r="G3" s="27">
        <f>C3+(E3*F3)</f>
        <v>0.1</v>
      </c>
      <c r="J3" s="31"/>
      <c r="N3" s="82">
        <f>SQRT(1-N1^2)</f>
        <v>4.4710177812216013E-2</v>
      </c>
      <c r="O3" s="279" t="s">
        <v>565</v>
      </c>
      <c r="P3" s="279" t="s">
        <v>567</v>
      </c>
      <c r="Q3" s="82"/>
      <c r="R3" s="82"/>
      <c r="S3" s="82"/>
      <c r="T3" s="82"/>
      <c r="U3" s="82"/>
    </row>
    <row r="4" spans="1:21" ht="13.8" thickBot="1" x14ac:dyDescent="0.3">
      <c r="A4" s="43" t="s">
        <v>90</v>
      </c>
      <c r="B4" s="26">
        <v>1</v>
      </c>
      <c r="C4" s="302">
        <f t="shared" ref="C4:C53" si="0">HLOOKUP($F$1,$D$62:$U$113,(B4+1))</f>
        <v>0</v>
      </c>
      <c r="D4" s="302">
        <f t="shared" ref="D4:D53" si="1">HLOOKUP($D$2,$D$61:$U$113,(B4+2))</f>
        <v>1</v>
      </c>
      <c r="G4" s="27">
        <v>100</v>
      </c>
      <c r="H4" s="81">
        <f>J18</f>
        <v>0</v>
      </c>
      <c r="I4" s="26" t="s">
        <v>53</v>
      </c>
      <c r="J4" s="34">
        <f>Drives!X14</f>
        <v>0</v>
      </c>
      <c r="K4" s="54" t="s">
        <v>142</v>
      </c>
      <c r="N4" s="82"/>
      <c r="O4" s="82"/>
      <c r="P4" s="82"/>
      <c r="Q4" s="82"/>
      <c r="R4" s="82"/>
      <c r="S4" s="82"/>
      <c r="T4" s="82"/>
      <c r="U4" s="82"/>
    </row>
    <row r="5" spans="1:21" ht="13.8" thickBot="1" x14ac:dyDescent="0.3">
      <c r="A5" s="31"/>
      <c r="B5" s="26">
        <v>2</v>
      </c>
      <c r="C5" s="52">
        <f t="shared" si="0"/>
        <v>0.20697328505530507</v>
      </c>
      <c r="D5" s="52">
        <f t="shared" si="1"/>
        <v>0.20518974772917717</v>
      </c>
      <c r="E5" s="48">
        <f t="shared" ref="E5:E53" si="2">D5-C5</f>
        <v>-1.7835373261279042E-3</v>
      </c>
      <c r="F5" s="48">
        <f t="shared" ref="F5:F53" si="3">E5*$F$3</f>
        <v>0</v>
      </c>
      <c r="G5" s="48">
        <f t="shared" ref="G5:G53" si="4">C5+F5</f>
        <v>0.20697328505530507</v>
      </c>
      <c r="H5" s="30">
        <f>J$2*G5*H$4/100</f>
        <v>0</v>
      </c>
      <c r="J5" s="49">
        <f>Drives!Y14</f>
        <v>0</v>
      </c>
      <c r="K5" s="54" t="s">
        <v>143</v>
      </c>
      <c r="N5" s="82"/>
      <c r="O5" s="82"/>
      <c r="P5" s="82"/>
      <c r="Q5" s="82"/>
      <c r="R5" s="82"/>
      <c r="S5" s="82"/>
      <c r="T5" s="82"/>
      <c r="U5" s="82"/>
    </row>
    <row r="6" spans="1:21" ht="13.8" thickBot="1" x14ac:dyDescent="0.3">
      <c r="A6" s="273" t="s">
        <v>573</v>
      </c>
      <c r="B6" s="26">
        <v>3</v>
      </c>
      <c r="C6" s="52">
        <f t="shared" si="0"/>
        <v>2.8443996678375726E-2</v>
      </c>
      <c r="D6" s="52">
        <f t="shared" si="1"/>
        <v>2.8198888089764469E-2</v>
      </c>
      <c r="E6" s="48">
        <f t="shared" si="2"/>
        <v>-2.4510858861125778E-4</v>
      </c>
      <c r="F6" s="48">
        <f t="shared" si="3"/>
        <v>0</v>
      </c>
      <c r="G6" s="48">
        <f t="shared" si="4"/>
        <v>2.8443996678375726E-2</v>
      </c>
      <c r="H6" s="30">
        <f t="shared" ref="H6:H53" si="5">J$2*G6*H$4/100</f>
        <v>0</v>
      </c>
    </row>
    <row r="7" spans="1:21" ht="13.8" thickBot="1" x14ac:dyDescent="0.3">
      <c r="A7" s="270" t="s">
        <v>95</v>
      </c>
      <c r="B7" s="26">
        <v>4</v>
      </c>
      <c r="C7" s="52">
        <f t="shared" si="0"/>
        <v>0.18681574970450104</v>
      </c>
      <c r="D7" s="52">
        <f t="shared" si="1"/>
        <v>0.18520591458680694</v>
      </c>
      <c r="E7" s="48">
        <f t="shared" si="2"/>
        <v>-1.6098351176941084E-3</v>
      </c>
      <c r="F7" s="48">
        <f t="shared" si="3"/>
        <v>0</v>
      </c>
      <c r="G7" s="48">
        <f t="shared" si="4"/>
        <v>0.18681574970450104</v>
      </c>
      <c r="H7" s="30">
        <f t="shared" si="5"/>
        <v>0</v>
      </c>
      <c r="J7" s="34">
        <f>Instructions!E201</f>
        <v>-40</v>
      </c>
      <c r="K7" s="54" t="s">
        <v>144</v>
      </c>
    </row>
    <row r="8" spans="1:21" x14ac:dyDescent="0.25">
      <c r="A8" s="54"/>
      <c r="B8" s="26">
        <v>5</v>
      </c>
      <c r="C8" s="52">
        <f t="shared" si="0"/>
        <v>3.306360991269139</v>
      </c>
      <c r="D8" s="52">
        <f t="shared" si="1"/>
        <v>3.2778693033684227</v>
      </c>
      <c r="E8" s="48">
        <f t="shared" si="2"/>
        <v>-2.8491687900716212E-2</v>
      </c>
      <c r="F8" s="48">
        <f t="shared" si="3"/>
        <v>0</v>
      </c>
      <c r="G8" s="48">
        <f t="shared" si="4"/>
        <v>3.306360991269139</v>
      </c>
      <c r="H8" s="30">
        <f t="shared" si="5"/>
        <v>0</v>
      </c>
      <c r="J8" s="29">
        <f>J7*J4/100</f>
        <v>0</v>
      </c>
      <c r="K8" s="54" t="s">
        <v>409</v>
      </c>
    </row>
    <row r="9" spans="1:21" x14ac:dyDescent="0.25">
      <c r="A9" s="54"/>
      <c r="B9" s="26">
        <v>6</v>
      </c>
      <c r="C9" s="52">
        <f t="shared" si="0"/>
        <v>1.2775754225618307E-2</v>
      </c>
      <c r="D9" s="52">
        <f t="shared" si="1"/>
        <v>1.2665662555938628E-2</v>
      </c>
      <c r="E9" s="48">
        <f t="shared" si="2"/>
        <v>-1.1009166967967943E-4</v>
      </c>
      <c r="F9" s="48">
        <f t="shared" si="3"/>
        <v>0</v>
      </c>
      <c r="G9" s="48">
        <f t="shared" si="4"/>
        <v>1.2775754225618307E-2</v>
      </c>
      <c r="H9" s="30">
        <f t="shared" si="5"/>
        <v>0</v>
      </c>
      <c r="J9" s="29"/>
    </row>
    <row r="10" spans="1:21" x14ac:dyDescent="0.25">
      <c r="B10" s="26">
        <v>7</v>
      </c>
      <c r="C10" s="52">
        <f t="shared" si="0"/>
        <v>2.3633383613042689</v>
      </c>
      <c r="D10" s="52">
        <f t="shared" si="1"/>
        <v>2.3429729205154741</v>
      </c>
      <c r="E10" s="48">
        <f t="shared" si="2"/>
        <v>-2.0365440788794764E-2</v>
      </c>
      <c r="F10" s="48">
        <f t="shared" si="3"/>
        <v>0</v>
      </c>
      <c r="G10" s="48">
        <f t="shared" si="4"/>
        <v>2.3633383613042689</v>
      </c>
      <c r="H10" s="30">
        <f t="shared" si="5"/>
        <v>0</v>
      </c>
      <c r="J10" s="29">
        <f>J8</f>
        <v>0</v>
      </c>
      <c r="K10" s="54" t="s">
        <v>145</v>
      </c>
    </row>
    <row r="11" spans="1:21" ht="13.8" thickBot="1" x14ac:dyDescent="0.3">
      <c r="B11" s="26">
        <v>8</v>
      </c>
      <c r="C11" s="52">
        <f t="shared" si="0"/>
        <v>1.2357716487193368E-2</v>
      </c>
      <c r="D11" s="52">
        <f t="shared" si="1"/>
        <v>1.2251227146722561E-2</v>
      </c>
      <c r="E11" s="48">
        <f t="shared" si="2"/>
        <v>-1.0648934047080734E-4</v>
      </c>
      <c r="F11" s="48">
        <f t="shared" si="3"/>
        <v>0</v>
      </c>
      <c r="G11" s="48">
        <f t="shared" si="4"/>
        <v>1.2357716487193368E-2</v>
      </c>
      <c r="H11" s="30">
        <f t="shared" si="5"/>
        <v>0</v>
      </c>
      <c r="J11" s="26">
        <f>N3*J10</f>
        <v>0</v>
      </c>
      <c r="K11" s="54" t="s">
        <v>146</v>
      </c>
    </row>
    <row r="12" spans="1:21" ht="13.8" thickBot="1" x14ac:dyDescent="0.3">
      <c r="B12" s="26">
        <v>9</v>
      </c>
      <c r="C12" s="52">
        <f t="shared" si="0"/>
        <v>6.0427198824762199E-3</v>
      </c>
      <c r="D12" s="52">
        <f t="shared" si="1"/>
        <v>5.9906483484188089E-3</v>
      </c>
      <c r="E12" s="48">
        <f t="shared" si="2"/>
        <v>-5.207153405741103E-5</v>
      </c>
      <c r="F12" s="48">
        <f t="shared" si="3"/>
        <v>0</v>
      </c>
      <c r="G12" s="48">
        <f t="shared" si="4"/>
        <v>6.0427198824762199E-3</v>
      </c>
      <c r="H12" s="30">
        <f t="shared" si="5"/>
        <v>0</v>
      </c>
      <c r="J12" s="256">
        <f>J10-J1*(J10-J11)</f>
        <v>0</v>
      </c>
      <c r="K12" s="54" t="s">
        <v>147</v>
      </c>
      <c r="O12" s="275" t="s">
        <v>84</v>
      </c>
      <c r="P12" s="275" t="s">
        <v>482</v>
      </c>
      <c r="Q12" s="275" t="s">
        <v>570</v>
      </c>
      <c r="R12" s="275" t="s">
        <v>569</v>
      </c>
      <c r="S12" s="275" t="s">
        <v>571</v>
      </c>
    </row>
    <row r="13" spans="1:21" ht="13.8" thickBot="1" x14ac:dyDescent="0.3">
      <c r="B13" s="26">
        <v>10</v>
      </c>
      <c r="C13" s="52">
        <f t="shared" si="0"/>
        <v>3.4022526007580932E-3</v>
      </c>
      <c r="D13" s="52">
        <f t="shared" si="1"/>
        <v>3.3729345923748065E-3</v>
      </c>
      <c r="E13" s="48">
        <f t="shared" si="2"/>
        <v>-2.9318008383286652E-5</v>
      </c>
      <c r="F13" s="48">
        <f t="shared" si="3"/>
        <v>0</v>
      </c>
      <c r="G13" s="48">
        <f t="shared" si="4"/>
        <v>3.4022526007580932E-3</v>
      </c>
      <c r="H13" s="30">
        <f t="shared" si="5"/>
        <v>0</v>
      </c>
      <c r="J13" s="29"/>
      <c r="O13" s="313">
        <v>1</v>
      </c>
      <c r="P13" s="313">
        <v>1</v>
      </c>
      <c r="Q13" s="312">
        <v>4.9400000000000004</v>
      </c>
      <c r="R13" s="29">
        <v>1</v>
      </c>
      <c r="S13" s="48">
        <f>-0.2063*O13^2+0.0812*O13+1.1253-0.0002</f>
        <v>1</v>
      </c>
    </row>
    <row r="14" spans="1:21" ht="13.8" thickBot="1" x14ac:dyDescent="0.3">
      <c r="B14" s="26">
        <v>11</v>
      </c>
      <c r="C14" s="52">
        <f t="shared" si="0"/>
        <v>2.1961941781275649</v>
      </c>
      <c r="D14" s="52">
        <f t="shared" si="1"/>
        <v>2.1772690579553231</v>
      </c>
      <c r="E14" s="48">
        <f t="shared" si="2"/>
        <v>-1.8925120172241794E-2</v>
      </c>
      <c r="F14" s="48">
        <f t="shared" si="3"/>
        <v>0</v>
      </c>
      <c r="G14" s="48">
        <f t="shared" si="4"/>
        <v>2.1961941781275649</v>
      </c>
      <c r="H14" s="30">
        <f t="shared" si="5"/>
        <v>0</v>
      </c>
      <c r="J14" s="34">
        <f>Drives!AN14</f>
        <v>0</v>
      </c>
      <c r="K14" s="54" t="s">
        <v>150</v>
      </c>
      <c r="O14" s="313">
        <v>0.8</v>
      </c>
      <c r="P14" s="313">
        <v>1.06</v>
      </c>
      <c r="Q14" s="312">
        <f>P14*Q$13</f>
        <v>5.2364000000000006</v>
      </c>
      <c r="R14" s="26">
        <v>1.0589999999999999</v>
      </c>
      <c r="S14" s="48">
        <f t="shared" ref="S14:S17" si="6">-0.2063*O14^2+0.0812*O14+1.1253-0.0002</f>
        <v>1.058028</v>
      </c>
    </row>
    <row r="15" spans="1:21" x14ac:dyDescent="0.25">
      <c r="B15" s="26">
        <v>12</v>
      </c>
      <c r="C15" s="52">
        <f t="shared" si="0"/>
        <v>2.1272957025884978E-3</v>
      </c>
      <c r="D15" s="52">
        <f t="shared" si="1"/>
        <v>2.1089642967345285E-3</v>
      </c>
      <c r="E15" s="48">
        <f t="shared" si="2"/>
        <v>-1.8331405853969258E-5</v>
      </c>
      <c r="F15" s="48">
        <f t="shared" si="3"/>
        <v>0</v>
      </c>
      <c r="G15" s="48">
        <f t="shared" si="4"/>
        <v>2.1272957025884978E-3</v>
      </c>
      <c r="H15" s="30">
        <f t="shared" si="5"/>
        <v>0</v>
      </c>
      <c r="J15" s="29">
        <f>J1*J14</f>
        <v>0</v>
      </c>
      <c r="K15" s="54" t="s">
        <v>151</v>
      </c>
      <c r="O15" s="313">
        <v>0.6</v>
      </c>
      <c r="P15" s="313">
        <v>1.1040000000000001</v>
      </c>
      <c r="Q15" s="312">
        <f t="shared" ref="Q15:Q17" si="7">P15*Q$13</f>
        <v>5.4537600000000008</v>
      </c>
      <c r="R15" s="26">
        <v>1.099</v>
      </c>
      <c r="S15" s="48">
        <f t="shared" si="6"/>
        <v>1.0995520000000001</v>
      </c>
    </row>
    <row r="16" spans="1:21" x14ac:dyDescent="0.25">
      <c r="B16" s="26">
        <v>13</v>
      </c>
      <c r="C16" s="52">
        <f t="shared" si="0"/>
        <v>1.4153409083284725</v>
      </c>
      <c r="D16" s="52">
        <f t="shared" si="1"/>
        <v>1.4031445838679264</v>
      </c>
      <c r="E16" s="48">
        <f t="shared" si="2"/>
        <v>-1.2196324460546082E-2</v>
      </c>
      <c r="F16" s="48">
        <f t="shared" si="3"/>
        <v>0</v>
      </c>
      <c r="G16" s="48">
        <f t="shared" si="4"/>
        <v>1.4153409083284725</v>
      </c>
      <c r="H16" s="30">
        <f t="shared" si="5"/>
        <v>0</v>
      </c>
      <c r="O16" s="313">
        <v>0.4</v>
      </c>
      <c r="P16" s="313">
        <v>1.1319999999999999</v>
      </c>
      <c r="Q16" s="312">
        <f t="shared" si="7"/>
        <v>5.5920800000000002</v>
      </c>
      <c r="R16" s="26">
        <v>1.125</v>
      </c>
      <c r="S16" s="48">
        <f t="shared" si="6"/>
        <v>1.1245719999999999</v>
      </c>
    </row>
    <row r="17" spans="2:19" x14ac:dyDescent="0.25">
      <c r="B17" s="26">
        <v>14</v>
      </c>
      <c r="C17" s="52">
        <f t="shared" si="0"/>
        <v>7.5440707250987536E-3</v>
      </c>
      <c r="D17" s="52">
        <f t="shared" si="1"/>
        <v>7.4790616988103268E-3</v>
      </c>
      <c r="E17" s="48">
        <f t="shared" si="2"/>
        <v>-6.5009026288426718E-5</v>
      </c>
      <c r="F17" s="48">
        <f t="shared" si="3"/>
        <v>0</v>
      </c>
      <c r="G17" s="48">
        <f t="shared" si="4"/>
        <v>7.5440707250987536E-3</v>
      </c>
      <c r="H17" s="30">
        <f t="shared" si="5"/>
        <v>0</v>
      </c>
      <c r="J17" s="277">
        <f>SQRT(SUMSQ(J11,J14))</f>
        <v>0</v>
      </c>
      <c r="K17" s="54" t="s">
        <v>149</v>
      </c>
      <c r="O17" s="313">
        <v>0.2</v>
      </c>
      <c r="P17" s="313">
        <v>1.1439999999999999</v>
      </c>
      <c r="Q17" s="312">
        <f t="shared" si="7"/>
        <v>5.6513600000000004</v>
      </c>
      <c r="S17" s="48">
        <f t="shared" si="6"/>
        <v>1.1330880000000001</v>
      </c>
    </row>
    <row r="18" spans="2:19" x14ac:dyDescent="0.25">
      <c r="B18" s="26">
        <v>15</v>
      </c>
      <c r="C18" s="52">
        <f t="shared" si="0"/>
        <v>1.4057523855031829E-3</v>
      </c>
      <c r="D18" s="52">
        <f t="shared" si="1"/>
        <v>1.393638687592033E-3</v>
      </c>
      <c r="E18" s="48">
        <f t="shared" si="2"/>
        <v>-1.211369791114989E-5</v>
      </c>
      <c r="F18" s="48">
        <f t="shared" si="3"/>
        <v>0</v>
      </c>
      <c r="G18" s="48">
        <f t="shared" si="4"/>
        <v>1.4057523855031829E-3</v>
      </c>
      <c r="H18" s="30">
        <f t="shared" si="5"/>
        <v>0</v>
      </c>
      <c r="J18" s="277">
        <f>SQRT(SUMSQ(J12,J15))</f>
        <v>0</v>
      </c>
      <c r="K18" s="54" t="s">
        <v>148</v>
      </c>
    </row>
    <row r="19" spans="2:19" x14ac:dyDescent="0.25">
      <c r="B19" s="26">
        <v>16</v>
      </c>
      <c r="C19" s="52">
        <f t="shared" si="0"/>
        <v>6.3134207948196252E-3</v>
      </c>
      <c r="D19" s="52">
        <f t="shared" si="1"/>
        <v>6.2590165675295954E-3</v>
      </c>
      <c r="E19" s="48">
        <f t="shared" si="2"/>
        <v>-5.4404227290029764E-5</v>
      </c>
      <c r="F19" s="48">
        <f t="shared" si="3"/>
        <v>0</v>
      </c>
      <c r="G19" s="48">
        <f t="shared" si="4"/>
        <v>6.3134207948196252E-3</v>
      </c>
      <c r="H19" s="30">
        <f t="shared" si="5"/>
        <v>0</v>
      </c>
      <c r="N19" s="31"/>
    </row>
    <row r="20" spans="2:19" x14ac:dyDescent="0.25">
      <c r="B20" s="26">
        <v>17</v>
      </c>
      <c r="C20" s="52">
        <f t="shared" si="0"/>
        <v>0.70551904702869006</v>
      </c>
      <c r="D20" s="52">
        <f t="shared" si="1"/>
        <v>0.69943942397814218</v>
      </c>
      <c r="E20" s="48">
        <f t="shared" si="2"/>
        <v>-6.0796230505478777E-3</v>
      </c>
      <c r="F20" s="48">
        <f t="shared" si="3"/>
        <v>0</v>
      </c>
      <c r="G20" s="48">
        <f t="shared" si="4"/>
        <v>0.70551904702869006</v>
      </c>
      <c r="H20" s="30">
        <f t="shared" si="5"/>
        <v>0</v>
      </c>
      <c r="J20" s="29">
        <f>H55</f>
        <v>0</v>
      </c>
      <c r="K20" s="54" t="s">
        <v>152</v>
      </c>
    </row>
    <row r="21" spans="2:19" x14ac:dyDescent="0.25">
      <c r="B21" s="26">
        <v>18</v>
      </c>
      <c r="C21" s="52">
        <f t="shared" si="0"/>
        <v>1.883836831846854E-3</v>
      </c>
      <c r="D21" s="52">
        <f t="shared" si="1"/>
        <v>1.8676033681656085E-3</v>
      </c>
      <c r="E21" s="48">
        <f t="shared" si="2"/>
        <v>-1.6233463681245572E-5</v>
      </c>
      <c r="F21" s="48">
        <f t="shared" si="3"/>
        <v>0</v>
      </c>
      <c r="G21" s="48">
        <f t="shared" si="4"/>
        <v>1.883836831846854E-3</v>
      </c>
      <c r="H21" s="30">
        <f t="shared" si="5"/>
        <v>0</v>
      </c>
      <c r="J21" s="29"/>
    </row>
    <row r="22" spans="2:19" x14ac:dyDescent="0.25">
      <c r="B22" s="26">
        <v>19</v>
      </c>
      <c r="C22" s="52">
        <f t="shared" si="0"/>
        <v>0.6629431724617828</v>
      </c>
      <c r="D22" s="52">
        <f t="shared" si="1"/>
        <v>0.65723043570509809</v>
      </c>
      <c r="E22" s="48">
        <f t="shared" si="2"/>
        <v>-5.7127367566847109E-3</v>
      </c>
      <c r="F22" s="48">
        <f t="shared" si="3"/>
        <v>0</v>
      </c>
      <c r="G22" s="48">
        <f t="shared" si="4"/>
        <v>0.6629431724617828</v>
      </c>
      <c r="H22" s="30">
        <f t="shared" si="5"/>
        <v>0</v>
      </c>
      <c r="J22" s="29">
        <f>H56</f>
        <v>0</v>
      </c>
      <c r="K22" s="54" t="s">
        <v>153</v>
      </c>
    </row>
    <row r="23" spans="2:19" x14ac:dyDescent="0.25">
      <c r="B23" s="26">
        <v>20</v>
      </c>
      <c r="C23" s="52">
        <f t="shared" si="0"/>
        <v>2.4847736216957093E-3</v>
      </c>
      <c r="D23" s="52">
        <f t="shared" si="1"/>
        <v>2.4633617447953251E-3</v>
      </c>
      <c r="E23" s="48">
        <f t="shared" si="2"/>
        <v>-2.1411876900384163E-5</v>
      </c>
      <c r="F23" s="48">
        <f t="shared" si="3"/>
        <v>0</v>
      </c>
      <c r="G23" s="48">
        <f t="shared" si="4"/>
        <v>2.4847736216957093E-3</v>
      </c>
      <c r="H23" s="30">
        <f t="shared" si="5"/>
        <v>0</v>
      </c>
    </row>
    <row r="24" spans="2:19" x14ac:dyDescent="0.25">
      <c r="B24" s="26">
        <v>21</v>
      </c>
      <c r="C24" s="52">
        <f t="shared" si="0"/>
        <v>1.1171759052434347E-3</v>
      </c>
      <c r="D24" s="52">
        <f t="shared" si="1"/>
        <v>1.1075489385249039E-3</v>
      </c>
      <c r="E24" s="48">
        <f t="shared" si="2"/>
        <v>-9.6269667185307391E-6</v>
      </c>
      <c r="F24" s="48">
        <f t="shared" si="3"/>
        <v>0</v>
      </c>
      <c r="G24" s="48">
        <f t="shared" si="4"/>
        <v>1.1171759052434347E-3</v>
      </c>
      <c r="H24" s="30">
        <f t="shared" si="5"/>
        <v>0</v>
      </c>
      <c r="J24" s="32">
        <f>IF(J18=0,0,100*J20/J18)</f>
        <v>0</v>
      </c>
      <c r="K24" s="54" t="s">
        <v>154</v>
      </c>
    </row>
    <row r="25" spans="2:19" x14ac:dyDescent="0.25">
      <c r="B25" s="26">
        <v>22</v>
      </c>
      <c r="C25" s="52">
        <f t="shared" si="0"/>
        <v>3.777557927030085E-3</v>
      </c>
      <c r="D25" s="52">
        <f t="shared" si="1"/>
        <v>3.7450058246528712E-3</v>
      </c>
      <c r="E25" s="48">
        <f t="shared" si="2"/>
        <v>-3.2552102377213839E-5</v>
      </c>
      <c r="F25" s="48">
        <f t="shared" si="3"/>
        <v>0</v>
      </c>
      <c r="G25" s="48">
        <f t="shared" si="4"/>
        <v>3.777557927030085E-3</v>
      </c>
      <c r="H25" s="30">
        <f t="shared" si="5"/>
        <v>0</v>
      </c>
    </row>
    <row r="26" spans="2:19" x14ac:dyDescent="0.25">
      <c r="B26" s="26">
        <v>23</v>
      </c>
      <c r="C26" s="52">
        <f t="shared" si="0"/>
        <v>0.39578666643260285</v>
      </c>
      <c r="D26" s="52">
        <f t="shared" si="1"/>
        <v>0.39237607992827378</v>
      </c>
      <c r="E26" s="48">
        <f t="shared" si="2"/>
        <v>-3.4105865043290717E-3</v>
      </c>
      <c r="F26" s="48">
        <f t="shared" si="3"/>
        <v>0</v>
      </c>
      <c r="G26" s="48">
        <f t="shared" si="4"/>
        <v>0.39578666643260285</v>
      </c>
      <c r="H26" s="30">
        <f t="shared" si="5"/>
        <v>0</v>
      </c>
    </row>
    <row r="27" spans="2:19" x14ac:dyDescent="0.25">
      <c r="B27" s="26">
        <v>24</v>
      </c>
      <c r="C27" s="52">
        <f t="shared" si="0"/>
        <v>5.3285223690435811E-4</v>
      </c>
      <c r="D27" s="52">
        <f t="shared" si="1"/>
        <v>5.282605242416552E-4</v>
      </c>
      <c r="E27" s="48">
        <f t="shared" si="2"/>
        <v>-4.5917126627029094E-6</v>
      </c>
      <c r="F27" s="48">
        <f t="shared" si="3"/>
        <v>0</v>
      </c>
      <c r="G27" s="48">
        <f t="shared" si="4"/>
        <v>5.3285223690435811E-4</v>
      </c>
      <c r="H27" s="30">
        <f t="shared" si="5"/>
        <v>0</v>
      </c>
    </row>
    <row r="28" spans="2:19" x14ac:dyDescent="0.25">
      <c r="B28" s="26">
        <v>25</v>
      </c>
      <c r="C28" s="52">
        <f t="shared" si="0"/>
        <v>0.31776955307117605</v>
      </c>
      <c r="D28" s="52">
        <f t="shared" si="1"/>
        <v>0.31503125832527207</v>
      </c>
      <c r="E28" s="48">
        <f t="shared" si="2"/>
        <v>-2.7382947459039797E-3</v>
      </c>
      <c r="F28" s="48">
        <f t="shared" si="3"/>
        <v>0</v>
      </c>
      <c r="G28" s="48">
        <f t="shared" si="4"/>
        <v>0.31776955307117605</v>
      </c>
      <c r="H28" s="30">
        <f t="shared" si="5"/>
        <v>0</v>
      </c>
    </row>
    <row r="29" spans="2:19" x14ac:dyDescent="0.25">
      <c r="B29" s="26">
        <v>26</v>
      </c>
      <c r="C29" s="52">
        <f t="shared" si="0"/>
        <v>2.730123890123639E-3</v>
      </c>
      <c r="D29" s="52">
        <f t="shared" si="1"/>
        <v>2.7065977724331945E-3</v>
      </c>
      <c r="E29" s="48">
        <f t="shared" si="2"/>
        <v>-2.3526117690444472E-5</v>
      </c>
      <c r="F29" s="48">
        <f t="shared" si="3"/>
        <v>0</v>
      </c>
      <c r="G29" s="48">
        <f t="shared" si="4"/>
        <v>2.730123890123639E-3</v>
      </c>
      <c r="H29" s="30">
        <f t="shared" si="5"/>
        <v>0</v>
      </c>
    </row>
    <row r="30" spans="2:19" x14ac:dyDescent="0.25">
      <c r="B30" s="26">
        <v>27</v>
      </c>
      <c r="C30" s="52">
        <f t="shared" si="0"/>
        <v>1.0483219422451294E-3</v>
      </c>
      <c r="D30" s="52">
        <f t="shared" si="1"/>
        <v>1.0392883062698705E-3</v>
      </c>
      <c r="E30" s="48">
        <f t="shared" si="2"/>
        <v>-9.0336359752588719E-6</v>
      </c>
      <c r="F30" s="48">
        <f t="shared" si="3"/>
        <v>0</v>
      </c>
      <c r="G30" s="48">
        <f t="shared" si="4"/>
        <v>1.0483219422451294E-3</v>
      </c>
      <c r="H30" s="30">
        <f t="shared" si="5"/>
        <v>0</v>
      </c>
    </row>
    <row r="31" spans="2:19" x14ac:dyDescent="0.25">
      <c r="B31" s="26">
        <v>28</v>
      </c>
      <c r="C31" s="52">
        <f t="shared" si="0"/>
        <v>1.6713228686753869E-3</v>
      </c>
      <c r="D31" s="52">
        <f t="shared" si="1"/>
        <v>1.656920687642713E-3</v>
      </c>
      <c r="E31" s="48">
        <f t="shared" si="2"/>
        <v>-1.4402181032673825E-5</v>
      </c>
      <c r="F31" s="48">
        <f t="shared" si="3"/>
        <v>0</v>
      </c>
      <c r="G31" s="48">
        <f t="shared" si="4"/>
        <v>1.6713228686753869E-3</v>
      </c>
      <c r="H31" s="30">
        <f t="shared" si="5"/>
        <v>0</v>
      </c>
    </row>
    <row r="32" spans="2:19" x14ac:dyDescent="0.25">
      <c r="B32" s="26">
        <v>29</v>
      </c>
      <c r="C32" s="52">
        <f t="shared" si="0"/>
        <v>0.28662223900981759</v>
      </c>
      <c r="D32" s="52">
        <f t="shared" si="1"/>
        <v>0.28415234797225802</v>
      </c>
      <c r="E32" s="48">
        <f t="shared" si="2"/>
        <v>-2.4698910375595684E-3</v>
      </c>
      <c r="F32" s="48">
        <f t="shared" si="3"/>
        <v>0</v>
      </c>
      <c r="G32" s="48">
        <f t="shared" si="4"/>
        <v>0.28662223900981759</v>
      </c>
      <c r="H32" s="30">
        <f t="shared" si="5"/>
        <v>0</v>
      </c>
    </row>
    <row r="33" spans="2:8" x14ac:dyDescent="0.25">
      <c r="B33" s="26">
        <v>30</v>
      </c>
      <c r="C33" s="52">
        <f t="shared" si="0"/>
        <v>8.285496296213758E-4</v>
      </c>
      <c r="D33" s="52">
        <f t="shared" si="1"/>
        <v>8.2140982319377676E-4</v>
      </c>
      <c r="E33" s="48">
        <f t="shared" si="2"/>
        <v>-7.1398064275990424E-6</v>
      </c>
      <c r="F33" s="48">
        <f t="shared" si="3"/>
        <v>0</v>
      </c>
      <c r="G33" s="48">
        <f t="shared" si="4"/>
        <v>8.285496296213758E-4</v>
      </c>
      <c r="H33" s="30">
        <f t="shared" si="5"/>
        <v>0</v>
      </c>
    </row>
    <row r="34" spans="2:8" x14ac:dyDescent="0.25">
      <c r="B34" s="26">
        <v>31</v>
      </c>
      <c r="C34" s="52">
        <f t="shared" si="0"/>
        <v>0.23581489486773383</v>
      </c>
      <c r="D34" s="52">
        <f t="shared" si="1"/>
        <v>0.23378282262739061</v>
      </c>
      <c r="E34" s="48">
        <f t="shared" si="2"/>
        <v>-2.0320722403432134E-3</v>
      </c>
      <c r="F34" s="48">
        <f t="shared" si="3"/>
        <v>0</v>
      </c>
      <c r="G34" s="48">
        <f t="shared" si="4"/>
        <v>0.23581489486773383</v>
      </c>
      <c r="H34" s="30">
        <f t="shared" si="5"/>
        <v>0</v>
      </c>
    </row>
    <row r="35" spans="2:8" x14ac:dyDescent="0.25">
      <c r="B35" s="26">
        <v>32</v>
      </c>
      <c r="C35" s="52">
        <f t="shared" si="0"/>
        <v>2.7919226840816386E-3</v>
      </c>
      <c r="D35" s="52">
        <f t="shared" si="1"/>
        <v>2.7678640316937601E-3</v>
      </c>
      <c r="E35" s="48">
        <f t="shared" si="2"/>
        <v>-2.4058652387878507E-5</v>
      </c>
      <c r="F35" s="48">
        <f t="shared" si="3"/>
        <v>0</v>
      </c>
      <c r="G35" s="48">
        <f t="shared" si="4"/>
        <v>2.7919226840816386E-3</v>
      </c>
      <c r="H35" s="30">
        <f t="shared" si="5"/>
        <v>0</v>
      </c>
    </row>
    <row r="36" spans="2:8" x14ac:dyDescent="0.25">
      <c r="B36" s="26">
        <v>33</v>
      </c>
      <c r="C36" s="52">
        <f t="shared" si="0"/>
        <v>2.46052719314709E-4</v>
      </c>
      <c r="D36" s="52">
        <f t="shared" si="1"/>
        <v>2.4393242534065439E-4</v>
      </c>
      <c r="E36" s="48">
        <f t="shared" si="2"/>
        <v>-2.1202939740546127E-6</v>
      </c>
      <c r="F36" s="48">
        <f t="shared" si="3"/>
        <v>0</v>
      </c>
      <c r="G36" s="48">
        <f t="shared" si="4"/>
        <v>2.46052719314709E-4</v>
      </c>
      <c r="H36" s="30">
        <f t="shared" si="5"/>
        <v>0</v>
      </c>
    </row>
    <row r="37" spans="2:8" x14ac:dyDescent="0.25">
      <c r="B37" s="26">
        <v>34</v>
      </c>
      <c r="C37" s="52">
        <f t="shared" si="0"/>
        <v>2.7595054084989341E-3</v>
      </c>
      <c r="D37" s="52">
        <f t="shared" si="1"/>
        <v>2.7357261033755962E-3</v>
      </c>
      <c r="E37" s="48">
        <f t="shared" si="2"/>
        <v>-2.3779305123337868E-5</v>
      </c>
      <c r="F37" s="48">
        <f t="shared" si="3"/>
        <v>0</v>
      </c>
      <c r="G37" s="48">
        <f t="shared" si="4"/>
        <v>2.7595054084989341E-3</v>
      </c>
      <c r="H37" s="30">
        <f t="shared" si="5"/>
        <v>0</v>
      </c>
    </row>
    <row r="38" spans="2:8" x14ac:dyDescent="0.25">
      <c r="B38" s="26">
        <v>35</v>
      </c>
      <c r="C38" s="52">
        <f t="shared" si="0"/>
        <v>0.17683135878704348</v>
      </c>
      <c r="D38" s="52">
        <f t="shared" si="1"/>
        <v>0.17530756150691462</v>
      </c>
      <c r="E38" s="48">
        <f t="shared" si="2"/>
        <v>-1.523797280128858E-3</v>
      </c>
      <c r="F38" s="48">
        <f t="shared" si="3"/>
        <v>0</v>
      </c>
      <c r="G38" s="48">
        <f t="shared" si="4"/>
        <v>0.17683135878704348</v>
      </c>
      <c r="H38" s="30">
        <f t="shared" si="5"/>
        <v>0</v>
      </c>
    </row>
    <row r="39" spans="2:8" x14ac:dyDescent="0.25">
      <c r="B39" s="26">
        <v>36</v>
      </c>
      <c r="C39" s="52">
        <f t="shared" si="0"/>
        <v>6.3098340187504919E-4</v>
      </c>
      <c r="D39" s="52">
        <f t="shared" si="1"/>
        <v>6.2554606995508376E-4</v>
      </c>
      <c r="E39" s="48">
        <f t="shared" si="2"/>
        <v>-5.437331919965426E-6</v>
      </c>
      <c r="F39" s="48">
        <f t="shared" si="3"/>
        <v>0</v>
      </c>
      <c r="G39" s="48">
        <f t="shared" si="4"/>
        <v>6.3098340187504919E-4</v>
      </c>
      <c r="H39" s="30">
        <f t="shared" si="5"/>
        <v>0</v>
      </c>
    </row>
    <row r="40" spans="2:8" x14ac:dyDescent="0.25">
      <c r="B40" s="26">
        <v>37</v>
      </c>
      <c r="C40" s="52">
        <f t="shared" si="0"/>
        <v>0.1702634207871582</v>
      </c>
      <c r="D40" s="52">
        <f t="shared" si="1"/>
        <v>0.16879622096875183</v>
      </c>
      <c r="E40" s="48">
        <f t="shared" si="2"/>
        <v>-1.4671998184063728E-3</v>
      </c>
      <c r="F40" s="48">
        <f t="shared" si="3"/>
        <v>0</v>
      </c>
      <c r="G40" s="48">
        <f t="shared" si="4"/>
        <v>0.1702634207871582</v>
      </c>
      <c r="H40" s="30">
        <f t="shared" si="5"/>
        <v>0</v>
      </c>
    </row>
    <row r="41" spans="2:8" x14ac:dyDescent="0.25">
      <c r="B41" s="26">
        <v>38</v>
      </c>
      <c r="C41" s="52">
        <f t="shared" si="0"/>
        <v>1.1703704137204639E-3</v>
      </c>
      <c r="D41" s="52">
        <f t="shared" si="1"/>
        <v>1.1602850574499268E-3</v>
      </c>
      <c r="E41" s="48">
        <f t="shared" si="2"/>
        <v>-1.0085356270537115E-5</v>
      </c>
      <c r="F41" s="48">
        <f t="shared" si="3"/>
        <v>0</v>
      </c>
      <c r="G41" s="48">
        <f t="shared" si="4"/>
        <v>1.1703704137204639E-3</v>
      </c>
      <c r="H41" s="30">
        <f t="shared" si="5"/>
        <v>0</v>
      </c>
    </row>
    <row r="42" spans="2:8" x14ac:dyDescent="0.25">
      <c r="B42" s="26">
        <v>39</v>
      </c>
      <c r="C42" s="52">
        <f t="shared" si="0"/>
        <v>6.6428961820331556E-4</v>
      </c>
      <c r="D42" s="52">
        <f t="shared" si="1"/>
        <v>6.5856527880797633E-4</v>
      </c>
      <c r="E42" s="48">
        <f t="shared" si="2"/>
        <v>-5.7243393953392268E-6</v>
      </c>
      <c r="F42" s="48">
        <f t="shared" si="3"/>
        <v>0</v>
      </c>
      <c r="G42" s="48">
        <f t="shared" si="4"/>
        <v>6.6428961820331556E-4</v>
      </c>
      <c r="H42" s="30">
        <f t="shared" si="5"/>
        <v>0</v>
      </c>
    </row>
    <row r="43" spans="2:8" x14ac:dyDescent="0.25">
      <c r="B43" s="26">
        <v>40</v>
      </c>
      <c r="C43" s="52">
        <f t="shared" si="0"/>
        <v>1.5808064481076536E-3</v>
      </c>
      <c r="D43" s="52">
        <f t="shared" si="1"/>
        <v>1.5671842682943007E-3</v>
      </c>
      <c r="E43" s="48">
        <f t="shared" si="2"/>
        <v>-1.3622179813352819E-5</v>
      </c>
      <c r="F43" s="48">
        <f t="shared" si="3"/>
        <v>0</v>
      </c>
      <c r="G43" s="48">
        <f t="shared" si="4"/>
        <v>1.5808064481076536E-3</v>
      </c>
      <c r="H43" s="30">
        <f t="shared" si="5"/>
        <v>0</v>
      </c>
    </row>
    <row r="44" spans="2:8" x14ac:dyDescent="0.25">
      <c r="B44" s="26">
        <v>41</v>
      </c>
      <c r="C44" s="52">
        <f t="shared" si="0"/>
        <v>0.12689902611613454</v>
      </c>
      <c r="D44" s="52">
        <f t="shared" si="1"/>
        <v>0.12580550745421193</v>
      </c>
      <c r="E44" s="48">
        <f t="shared" si="2"/>
        <v>-1.0935186619226156E-3</v>
      </c>
      <c r="F44" s="48">
        <f t="shared" si="3"/>
        <v>0</v>
      </c>
      <c r="G44" s="48">
        <f t="shared" si="4"/>
        <v>0.12689902611613454</v>
      </c>
      <c r="H44" s="30">
        <f t="shared" si="5"/>
        <v>0</v>
      </c>
    </row>
    <row r="45" spans="2:8" x14ac:dyDescent="0.25">
      <c r="B45" s="26">
        <v>42</v>
      </c>
      <c r="C45" s="52">
        <f t="shared" si="0"/>
        <v>2.4095366497059592E-4</v>
      </c>
      <c r="D45" s="52">
        <f t="shared" si="1"/>
        <v>2.3887731074339436E-4</v>
      </c>
      <c r="E45" s="48">
        <f t="shared" si="2"/>
        <v>-2.0763542272015517E-6</v>
      </c>
      <c r="F45" s="48">
        <f t="shared" si="3"/>
        <v>0</v>
      </c>
      <c r="G45" s="48">
        <f t="shared" si="4"/>
        <v>2.4095366497059592E-4</v>
      </c>
      <c r="H45" s="30">
        <f t="shared" si="5"/>
        <v>0</v>
      </c>
    </row>
    <row r="46" spans="2:8" x14ac:dyDescent="0.25">
      <c r="B46" s="26">
        <v>43</v>
      </c>
      <c r="C46" s="52">
        <f t="shared" si="0"/>
        <v>0.1128807414715028</v>
      </c>
      <c r="D46" s="52">
        <f t="shared" si="1"/>
        <v>0.1119080216552153</v>
      </c>
      <c r="E46" s="48">
        <f t="shared" si="2"/>
        <v>-9.727198162875067E-4</v>
      </c>
      <c r="F46" s="48">
        <f t="shared" si="3"/>
        <v>0</v>
      </c>
      <c r="G46" s="48">
        <f t="shared" si="4"/>
        <v>0.1128807414715028</v>
      </c>
      <c r="H46" s="30">
        <f t="shared" si="5"/>
        <v>0</v>
      </c>
    </row>
    <row r="47" spans="2:8" x14ac:dyDescent="0.25">
      <c r="B47" s="26">
        <v>44</v>
      </c>
      <c r="C47" s="52">
        <f t="shared" si="0"/>
        <v>1.8562243124160176E-3</v>
      </c>
      <c r="D47" s="52">
        <f t="shared" si="1"/>
        <v>1.8402287922889857E-3</v>
      </c>
      <c r="E47" s="48">
        <f t="shared" si="2"/>
        <v>-1.5995520127031924E-5</v>
      </c>
      <c r="F47" s="48">
        <f t="shared" si="3"/>
        <v>0</v>
      </c>
      <c r="G47" s="48">
        <f t="shared" si="4"/>
        <v>1.8562243124160176E-3</v>
      </c>
      <c r="H47" s="30">
        <f t="shared" si="5"/>
        <v>0</v>
      </c>
    </row>
    <row r="48" spans="2:8" x14ac:dyDescent="0.25">
      <c r="B48" s="26">
        <v>45</v>
      </c>
      <c r="C48" s="52">
        <f t="shared" si="0"/>
        <v>3.5345677459194163E-4</v>
      </c>
      <c r="D48" s="52">
        <f t="shared" si="1"/>
        <v>3.5041095469064831E-4</v>
      </c>
      <c r="E48" s="48">
        <f t="shared" si="2"/>
        <v>-3.0458199012933112E-6</v>
      </c>
      <c r="F48" s="48">
        <f t="shared" si="3"/>
        <v>0</v>
      </c>
      <c r="G48" s="48">
        <f t="shared" si="4"/>
        <v>3.5345677459194163E-4</v>
      </c>
      <c r="H48" s="30">
        <f t="shared" si="5"/>
        <v>0</v>
      </c>
    </row>
    <row r="49" spans="1:21" x14ac:dyDescent="0.25">
      <c r="B49" s="26">
        <v>46</v>
      </c>
      <c r="C49" s="52">
        <f t="shared" si="0"/>
        <v>1.4179687765222223E-3</v>
      </c>
      <c r="D49" s="52">
        <f t="shared" si="1"/>
        <v>1.4057498071052973E-3</v>
      </c>
      <c r="E49" s="48">
        <f t="shared" si="2"/>
        <v>-1.2218969416925027E-5</v>
      </c>
      <c r="F49" s="48">
        <f t="shared" si="3"/>
        <v>0</v>
      </c>
      <c r="G49" s="48">
        <f t="shared" si="4"/>
        <v>1.4179687765222223E-3</v>
      </c>
      <c r="H49" s="30">
        <f t="shared" si="5"/>
        <v>0</v>
      </c>
    </row>
    <row r="50" spans="1:21" x14ac:dyDescent="0.25">
      <c r="B50" s="26">
        <v>47</v>
      </c>
      <c r="C50" s="52">
        <f t="shared" si="0"/>
        <v>0.10627143062294452</v>
      </c>
      <c r="D50" s="52">
        <f t="shared" si="1"/>
        <v>0.10535566478791714</v>
      </c>
      <c r="E50" s="48">
        <f t="shared" si="2"/>
        <v>-9.1576583502737952E-4</v>
      </c>
      <c r="F50" s="48">
        <f t="shared" si="3"/>
        <v>0</v>
      </c>
      <c r="G50" s="48">
        <f t="shared" si="4"/>
        <v>0.10627143062294452</v>
      </c>
      <c r="H50" s="30">
        <f t="shared" si="5"/>
        <v>0</v>
      </c>
    </row>
    <row r="51" spans="1:21" x14ac:dyDescent="0.25">
      <c r="B51" s="26">
        <v>48</v>
      </c>
      <c r="C51" s="52">
        <f t="shared" si="0"/>
        <v>5.0457473136599602E-4</v>
      </c>
      <c r="D51" s="52">
        <f t="shared" si="1"/>
        <v>5.0022669259871383E-4</v>
      </c>
      <c r="E51" s="48">
        <f t="shared" si="2"/>
        <v>-4.3480387672821834E-6</v>
      </c>
      <c r="F51" s="48">
        <f t="shared" si="3"/>
        <v>0</v>
      </c>
      <c r="G51" s="48">
        <f t="shared" si="4"/>
        <v>5.0457473136599602E-4</v>
      </c>
      <c r="H51" s="30">
        <f t="shared" si="5"/>
        <v>0</v>
      </c>
    </row>
    <row r="52" spans="1:21" x14ac:dyDescent="0.25">
      <c r="B52" s="26">
        <v>49</v>
      </c>
      <c r="C52" s="52">
        <f t="shared" si="0"/>
        <v>9.297577199585369E-2</v>
      </c>
      <c r="D52" s="52">
        <f t="shared" si="1"/>
        <v>9.2174577968634902E-2</v>
      </c>
      <c r="E52" s="48">
        <f t="shared" si="2"/>
        <v>-8.0119402721878785E-4</v>
      </c>
      <c r="F52" s="48">
        <f t="shared" si="3"/>
        <v>0</v>
      </c>
      <c r="G52" s="48">
        <f t="shared" si="4"/>
        <v>9.297577199585369E-2</v>
      </c>
      <c r="H52" s="30">
        <f t="shared" si="5"/>
        <v>0</v>
      </c>
    </row>
    <row r="53" spans="1:21" x14ac:dyDescent="0.25">
      <c r="B53" s="26">
        <v>50</v>
      </c>
      <c r="C53" s="52">
        <f t="shared" si="0"/>
        <v>1.4177758511646067E-3</v>
      </c>
      <c r="D53" s="52">
        <f t="shared" si="1"/>
        <v>1.4055585442307231E-3</v>
      </c>
      <c r="E53" s="48">
        <f t="shared" si="2"/>
        <v>-1.2217306933883605E-5</v>
      </c>
      <c r="F53" s="48">
        <f t="shared" si="3"/>
        <v>0</v>
      </c>
      <c r="G53" s="48">
        <f t="shared" si="4"/>
        <v>1.4177758511646067E-3</v>
      </c>
      <c r="H53" s="30">
        <f t="shared" si="5"/>
        <v>0</v>
      </c>
    </row>
    <row r="54" spans="1:21" x14ac:dyDescent="0.25">
      <c r="C54" s="41"/>
      <c r="D54" s="41"/>
    </row>
    <row r="55" spans="1:21" x14ac:dyDescent="0.25">
      <c r="F55" s="26" t="s">
        <v>85</v>
      </c>
      <c r="G55" s="29">
        <f>SQRT(SUMSQ(G5:G53))</f>
        <v>4.986442504597016</v>
      </c>
      <c r="H55" s="29">
        <f>SQRT(SUMSQ(H5:H53))</f>
        <v>0</v>
      </c>
      <c r="I55" s="26" t="s">
        <v>52</v>
      </c>
    </row>
    <row r="56" spans="1:21" x14ac:dyDescent="0.25">
      <c r="F56" s="26" t="s">
        <v>86</v>
      </c>
      <c r="G56" s="29">
        <f>SQRT(SUMSQ(G4:G53))</f>
        <v>100.12424585909073</v>
      </c>
      <c r="H56" s="29">
        <f>SQRT(SUMSQ(H4:H53))</f>
        <v>0</v>
      </c>
      <c r="I56" s="26" t="s">
        <v>54</v>
      </c>
    </row>
    <row r="57" spans="1:21" x14ac:dyDescent="0.25">
      <c r="G57" s="26" t="s">
        <v>87</v>
      </c>
      <c r="H57" s="26" t="s">
        <v>13</v>
      </c>
    </row>
    <row r="59" spans="1:21" ht="14.4" x14ac:dyDescent="0.3">
      <c r="A59" s="25" t="s">
        <v>63</v>
      </c>
      <c r="C59"/>
      <c r="D59"/>
      <c r="E59"/>
      <c r="F59"/>
      <c r="G59"/>
      <c r="H59"/>
      <c r="I59"/>
      <c r="J59"/>
      <c r="K59"/>
      <c r="L59"/>
      <c r="M59"/>
      <c r="N59"/>
      <c r="O59"/>
      <c r="P59"/>
      <c r="Q59"/>
      <c r="R59"/>
      <c r="S59"/>
      <c r="T59"/>
      <c r="U59"/>
    </row>
    <row r="60" spans="1:21" ht="14.4" x14ac:dyDescent="0.3">
      <c r="C60" s="1" t="s">
        <v>478</v>
      </c>
      <c r="D60" s="7">
        <f>100/D62</f>
        <v>1000</v>
      </c>
      <c r="E60" s="7">
        <f t="shared" ref="E60:U60" si="8">100/E62</f>
        <v>200</v>
      </c>
      <c r="F60" s="7">
        <f t="shared" si="8"/>
        <v>100</v>
      </c>
      <c r="G60" s="7">
        <f t="shared" si="8"/>
        <v>50</v>
      </c>
      <c r="H60" s="7">
        <f t="shared" si="8"/>
        <v>33.333333333333336</v>
      </c>
      <c r="I60" s="7">
        <f t="shared" si="8"/>
        <v>25</v>
      </c>
      <c r="J60" s="7">
        <f t="shared" si="8"/>
        <v>20</v>
      </c>
      <c r="K60" s="7">
        <f t="shared" si="8"/>
        <v>16.666666666666668</v>
      </c>
      <c r="L60" s="7">
        <f t="shared" si="8"/>
        <v>14.285714285714286</v>
      </c>
      <c r="M60" s="7">
        <f t="shared" si="8"/>
        <v>12.5</v>
      </c>
      <c r="N60" s="7">
        <f t="shared" si="8"/>
        <v>10</v>
      </c>
      <c r="O60" s="7">
        <f t="shared" si="8"/>
        <v>8.3333333333333339</v>
      </c>
      <c r="P60" s="7">
        <f t="shared" si="8"/>
        <v>7.1428571428571432</v>
      </c>
      <c r="Q60" s="7">
        <f t="shared" si="8"/>
        <v>5.5555555555555554</v>
      </c>
      <c r="R60" s="7">
        <f t="shared" si="8"/>
        <v>4.7619047619047619</v>
      </c>
      <c r="S60" s="7">
        <f t="shared" si="8"/>
        <v>1</v>
      </c>
      <c r="T60" s="7">
        <f t="shared" si="8"/>
        <v>0.1</v>
      </c>
      <c r="U60" s="7">
        <f t="shared" si="8"/>
        <v>0.01</v>
      </c>
    </row>
    <row r="61" spans="1:21" ht="14.4" x14ac:dyDescent="0.3">
      <c r="C61" s="1" t="s">
        <v>64</v>
      </c>
      <c r="D61">
        <v>0</v>
      </c>
      <c r="E61">
        <v>1</v>
      </c>
      <c r="F61">
        <v>2</v>
      </c>
      <c r="G61">
        <v>3</v>
      </c>
      <c r="H61">
        <v>4</v>
      </c>
      <c r="I61">
        <v>5</v>
      </c>
      <c r="J61">
        <v>6</v>
      </c>
      <c r="K61">
        <v>7</v>
      </c>
      <c r="L61">
        <v>8</v>
      </c>
      <c r="M61">
        <v>9</v>
      </c>
      <c r="N61">
        <v>10</v>
      </c>
      <c r="O61">
        <v>11</v>
      </c>
      <c r="P61">
        <v>12</v>
      </c>
      <c r="Q61">
        <v>13</v>
      </c>
      <c r="R61">
        <v>14</v>
      </c>
      <c r="S61">
        <v>15</v>
      </c>
      <c r="T61">
        <v>16</v>
      </c>
      <c r="U61">
        <v>17</v>
      </c>
    </row>
    <row r="62" spans="1:21" ht="14.4" x14ac:dyDescent="0.3">
      <c r="A62" s="26" t="s">
        <v>65</v>
      </c>
      <c r="B62" s="54"/>
      <c r="C62" s="216" t="s">
        <v>1</v>
      </c>
      <c r="D62" s="296">
        <v>0.1</v>
      </c>
      <c r="E62" s="296">
        <v>0.5</v>
      </c>
      <c r="F62" s="296">
        <v>1</v>
      </c>
      <c r="G62" s="296">
        <v>2</v>
      </c>
      <c r="H62" s="296">
        <v>3</v>
      </c>
      <c r="I62" s="296">
        <v>4</v>
      </c>
      <c r="J62" s="296">
        <v>5</v>
      </c>
      <c r="K62" s="296">
        <v>6</v>
      </c>
      <c r="L62" s="296">
        <v>7</v>
      </c>
      <c r="M62" s="296">
        <v>8</v>
      </c>
      <c r="N62" s="296">
        <v>10</v>
      </c>
      <c r="O62" s="296">
        <v>12</v>
      </c>
      <c r="P62" s="296">
        <v>14</v>
      </c>
      <c r="Q62" s="296">
        <v>18</v>
      </c>
      <c r="R62" s="296">
        <v>21</v>
      </c>
      <c r="S62" s="296">
        <v>100</v>
      </c>
      <c r="T62" s="296">
        <v>1000</v>
      </c>
      <c r="U62" s="296">
        <v>10000</v>
      </c>
    </row>
    <row r="63" spans="1:21" ht="14.4" x14ac:dyDescent="0.3">
      <c r="A63" s="31"/>
      <c r="C63" s="1" t="s">
        <v>64</v>
      </c>
      <c r="D63">
        <v>0</v>
      </c>
      <c r="E63">
        <v>1</v>
      </c>
      <c r="F63">
        <v>2</v>
      </c>
      <c r="G63">
        <v>3</v>
      </c>
      <c r="H63">
        <v>4</v>
      </c>
      <c r="I63">
        <v>5</v>
      </c>
      <c r="J63">
        <v>6</v>
      </c>
      <c r="K63">
        <v>7</v>
      </c>
      <c r="L63">
        <v>8</v>
      </c>
      <c r="M63">
        <v>9</v>
      </c>
      <c r="N63">
        <v>10</v>
      </c>
      <c r="O63">
        <v>11</v>
      </c>
      <c r="P63">
        <v>12</v>
      </c>
      <c r="Q63">
        <v>13</v>
      </c>
      <c r="R63">
        <v>14</v>
      </c>
      <c r="S63">
        <v>15</v>
      </c>
      <c r="T63">
        <v>16</v>
      </c>
      <c r="U63">
        <v>17</v>
      </c>
    </row>
    <row r="64" spans="1:21" ht="14.4" x14ac:dyDescent="0.3">
      <c r="A64" s="43">
        <v>2</v>
      </c>
      <c r="B64" s="43"/>
      <c r="C64" s="1"/>
      <c r="D64" s="318">
        <v>0.20697328505530507</v>
      </c>
      <c r="E64" s="318">
        <v>0.20518974772917717</v>
      </c>
      <c r="F64" s="318">
        <v>0.20336473279081374</v>
      </c>
      <c r="G64" s="318">
        <v>0.20158119546468589</v>
      </c>
      <c r="H64" s="318">
        <v>0.20033686709761994</v>
      </c>
      <c r="I64" s="318">
        <v>0.20033686709761994</v>
      </c>
      <c r="J64" s="318">
        <v>0.20033686709761994</v>
      </c>
      <c r="K64" s="318">
        <v>0.20033686709761994</v>
      </c>
      <c r="L64" s="318">
        <v>0.20033686709761994</v>
      </c>
      <c r="M64" s="318">
        <v>0.20033686709761994</v>
      </c>
      <c r="N64" s="318">
        <v>0.20033686709761994</v>
      </c>
      <c r="O64" s="318">
        <v>0.20033686709761994</v>
      </c>
      <c r="P64" s="318">
        <v>0.20033686709761994</v>
      </c>
      <c r="Q64" s="318">
        <v>0.20033686709761994</v>
      </c>
      <c r="R64" s="318">
        <v>0.20033686709761994</v>
      </c>
      <c r="S64" s="318">
        <v>0.20033686709761994</v>
      </c>
      <c r="T64" s="318">
        <v>0.20033686709761994</v>
      </c>
      <c r="U64" s="318">
        <v>0.20033686709761994</v>
      </c>
    </row>
    <row r="65" spans="1:21" ht="14.4" x14ac:dyDescent="0.3">
      <c r="A65" s="43">
        <v>3</v>
      </c>
      <c r="B65" s="43"/>
      <c r="C65" s="1"/>
      <c r="D65" s="318">
        <v>2.8443996678375726E-2</v>
      </c>
      <c r="E65" s="318">
        <v>2.8198888089764469E-2</v>
      </c>
      <c r="F65" s="318">
        <v>2.7948079301418068E-2</v>
      </c>
      <c r="G65" s="318">
        <v>2.7702970712806821E-2</v>
      </c>
      <c r="H65" s="318">
        <v>2.7531964720752457E-2</v>
      </c>
      <c r="I65" s="318">
        <v>2.7531964720752457E-2</v>
      </c>
      <c r="J65" s="318">
        <v>2.7531964720752457E-2</v>
      </c>
      <c r="K65" s="318">
        <v>2.7531964720752457E-2</v>
      </c>
      <c r="L65" s="318">
        <v>2.7531964720752457E-2</v>
      </c>
      <c r="M65" s="318">
        <v>2.7531964720752457E-2</v>
      </c>
      <c r="N65" s="318">
        <v>2.7531964720752457E-2</v>
      </c>
      <c r="O65" s="318">
        <v>2.7531964720752457E-2</v>
      </c>
      <c r="P65" s="318">
        <v>2.7531964720752457E-2</v>
      </c>
      <c r="Q65" s="318">
        <v>2.7531964720752457E-2</v>
      </c>
      <c r="R65" s="318">
        <v>2.7531964720752457E-2</v>
      </c>
      <c r="S65" s="318">
        <v>2.7531964720752457E-2</v>
      </c>
      <c r="T65" s="318">
        <v>2.7531964720752457E-2</v>
      </c>
      <c r="U65" s="318">
        <v>2.7531964720752457E-2</v>
      </c>
    </row>
    <row r="66" spans="1:21" ht="14.4" x14ac:dyDescent="0.3">
      <c r="A66" s="43">
        <v>4</v>
      </c>
      <c r="B66" s="43"/>
      <c r="C66" s="1"/>
      <c r="D66" s="318">
        <v>0.18681574970450104</v>
      </c>
      <c r="E66" s="318">
        <v>0.18520591458680694</v>
      </c>
      <c r="F66" s="318">
        <v>0.18355864144311992</v>
      </c>
      <c r="G66" s="318">
        <v>0.18194880632542587</v>
      </c>
      <c r="H66" s="318">
        <v>0.18082566554563928</v>
      </c>
      <c r="I66" s="318">
        <v>0.18082566554563928</v>
      </c>
      <c r="J66" s="318">
        <v>0.18082566554563928</v>
      </c>
      <c r="K66" s="318">
        <v>0.18082566554563928</v>
      </c>
      <c r="L66" s="318">
        <v>0.18082566554563928</v>
      </c>
      <c r="M66" s="318">
        <v>0.18082566554563928</v>
      </c>
      <c r="N66" s="318">
        <v>0.18082566554563928</v>
      </c>
      <c r="O66" s="318">
        <v>0.18082566554563928</v>
      </c>
      <c r="P66" s="318">
        <v>0.18082566554563928</v>
      </c>
      <c r="Q66" s="318">
        <v>0.18082566554563928</v>
      </c>
      <c r="R66" s="318">
        <v>0.18082566554563928</v>
      </c>
      <c r="S66" s="318">
        <v>0.18082566554563928</v>
      </c>
      <c r="T66" s="318">
        <v>0.18082566554563928</v>
      </c>
      <c r="U66" s="318">
        <v>0.18082566554563928</v>
      </c>
    </row>
    <row r="67" spans="1:21" ht="14.4" x14ac:dyDescent="0.3">
      <c r="A67" s="43">
        <v>5</v>
      </c>
      <c r="B67" s="43"/>
      <c r="C67" s="1"/>
      <c r="D67" s="318">
        <v>3.306360991269139</v>
      </c>
      <c r="E67" s="318">
        <v>3.2778693033684227</v>
      </c>
      <c r="F67" s="318">
        <v>3.2487150180746664</v>
      </c>
      <c r="G67" s="318">
        <v>3.2202233301739507</v>
      </c>
      <c r="H67" s="318">
        <v>3.2003454083827538</v>
      </c>
      <c r="I67" s="318">
        <v>3.2003454083827538</v>
      </c>
      <c r="J67" s="318">
        <v>3.2003454083827538</v>
      </c>
      <c r="K67" s="318">
        <v>3.2003454083827538</v>
      </c>
      <c r="L67" s="318">
        <v>3.2003454083827538</v>
      </c>
      <c r="M67" s="318">
        <v>3.2003454083827538</v>
      </c>
      <c r="N67" s="318">
        <v>3.2003454083827538</v>
      </c>
      <c r="O67" s="318">
        <v>3.2003454083827538</v>
      </c>
      <c r="P67" s="318">
        <v>3.2003454083827538</v>
      </c>
      <c r="Q67" s="318">
        <v>3.2003454083827538</v>
      </c>
      <c r="R67" s="318">
        <v>3.2003454083827538</v>
      </c>
      <c r="S67" s="318">
        <v>3.2003454083827538</v>
      </c>
      <c r="T67" s="318">
        <v>3.2003454083827538</v>
      </c>
      <c r="U67" s="318">
        <v>3.2003454083827538</v>
      </c>
    </row>
    <row r="68" spans="1:21" ht="14.4" x14ac:dyDescent="0.3">
      <c r="A68" s="43">
        <v>6</v>
      </c>
      <c r="B68" s="43"/>
      <c r="C68" s="1"/>
      <c r="D68" s="318">
        <v>1.2775754225618307E-2</v>
      </c>
      <c r="E68" s="318">
        <v>1.2665662555938628E-2</v>
      </c>
      <c r="F68" s="318">
        <v>1.2553010614871052E-2</v>
      </c>
      <c r="G68" s="318">
        <v>1.2442918945191377E-2</v>
      </c>
      <c r="H68" s="318">
        <v>1.2366110803554393E-2</v>
      </c>
      <c r="I68" s="318">
        <v>1.2366110803554393E-2</v>
      </c>
      <c r="J68" s="318">
        <v>1.2366110803554393E-2</v>
      </c>
      <c r="K68" s="318">
        <v>1.2366110803554393E-2</v>
      </c>
      <c r="L68" s="318">
        <v>1.2366110803554393E-2</v>
      </c>
      <c r="M68" s="318">
        <v>1.2366110803554393E-2</v>
      </c>
      <c r="N68" s="318">
        <v>1.2366110803554393E-2</v>
      </c>
      <c r="O68" s="318">
        <v>1.2366110803554393E-2</v>
      </c>
      <c r="P68" s="318">
        <v>1.2366110803554393E-2</v>
      </c>
      <c r="Q68" s="318">
        <v>1.2366110803554393E-2</v>
      </c>
      <c r="R68" s="318">
        <v>1.2366110803554393E-2</v>
      </c>
      <c r="S68" s="318">
        <v>1.2366110803554393E-2</v>
      </c>
      <c r="T68" s="318">
        <v>1.2366110803554393E-2</v>
      </c>
      <c r="U68" s="318">
        <v>1.2366110803554393E-2</v>
      </c>
    </row>
    <row r="69" spans="1:21" ht="14.4" x14ac:dyDescent="0.3">
      <c r="A69" s="43">
        <v>7</v>
      </c>
      <c r="B69" s="43"/>
      <c r="C69" s="1"/>
      <c r="D69" s="318">
        <v>2.3633383613042689</v>
      </c>
      <c r="E69" s="318">
        <v>2.3429729205154741</v>
      </c>
      <c r="F69" s="318">
        <v>2.322133864824615</v>
      </c>
      <c r="G69" s="318">
        <v>2.3017684240358207</v>
      </c>
      <c r="H69" s="318">
        <v>2.2875599769738715</v>
      </c>
      <c r="I69" s="318">
        <v>2.2875599769738715</v>
      </c>
      <c r="J69" s="318">
        <v>2.2875599769738715</v>
      </c>
      <c r="K69" s="318">
        <v>2.2875599769738715</v>
      </c>
      <c r="L69" s="318">
        <v>2.2875599769738715</v>
      </c>
      <c r="M69" s="318">
        <v>2.2875599769738715</v>
      </c>
      <c r="N69" s="318">
        <v>2.2875599769738715</v>
      </c>
      <c r="O69" s="318">
        <v>2.2875599769738715</v>
      </c>
      <c r="P69" s="318">
        <v>2.2875599769738715</v>
      </c>
      <c r="Q69" s="318">
        <v>2.2875599769738715</v>
      </c>
      <c r="R69" s="318">
        <v>2.2875599769738715</v>
      </c>
      <c r="S69" s="318">
        <v>2.2875599769738715</v>
      </c>
      <c r="T69" s="318">
        <v>2.2875599769738715</v>
      </c>
      <c r="U69" s="318">
        <v>2.2875599769738715</v>
      </c>
    </row>
    <row r="70" spans="1:21" ht="14.4" x14ac:dyDescent="0.3">
      <c r="A70" s="43">
        <v>8</v>
      </c>
      <c r="B70" s="43"/>
      <c r="C70" s="1"/>
      <c r="D70" s="318">
        <v>1.2357716487193368E-2</v>
      </c>
      <c r="E70" s="318">
        <v>1.2251227146722561E-2</v>
      </c>
      <c r="F70" s="318">
        <v>1.2142261309961738E-2</v>
      </c>
      <c r="G70" s="318">
        <v>1.2035771969490934E-2</v>
      </c>
      <c r="H70" s="318">
        <v>1.1961477080790374E-2</v>
      </c>
      <c r="I70" s="318">
        <v>1.1961477080790374E-2</v>
      </c>
      <c r="J70" s="318">
        <v>1.1961477080790374E-2</v>
      </c>
      <c r="K70" s="318">
        <v>1.1961477080790374E-2</v>
      </c>
      <c r="L70" s="318">
        <v>1.1961477080790374E-2</v>
      </c>
      <c r="M70" s="318">
        <v>1.1961477080790374E-2</v>
      </c>
      <c r="N70" s="318">
        <v>1.1961477080790374E-2</v>
      </c>
      <c r="O70" s="318">
        <v>1.1961477080790374E-2</v>
      </c>
      <c r="P70" s="318">
        <v>1.1961477080790374E-2</v>
      </c>
      <c r="Q70" s="318">
        <v>1.1961477080790374E-2</v>
      </c>
      <c r="R70" s="318">
        <v>1.1961477080790374E-2</v>
      </c>
      <c r="S70" s="318">
        <v>1.1961477080790374E-2</v>
      </c>
      <c r="T70" s="318">
        <v>1.1961477080790374E-2</v>
      </c>
      <c r="U70" s="318">
        <v>1.1961477080790374E-2</v>
      </c>
    </row>
    <row r="71" spans="1:21" ht="14.4" x14ac:dyDescent="0.3">
      <c r="A71" s="43">
        <v>9</v>
      </c>
      <c r="B71" s="43"/>
      <c r="C71" s="1"/>
      <c r="D71" s="318">
        <v>6.0427198824762199E-3</v>
      </c>
      <c r="E71" s="318">
        <v>5.9906483484188089E-3</v>
      </c>
      <c r="F71" s="318">
        <v>5.9373658484530864E-3</v>
      </c>
      <c r="G71" s="318">
        <v>5.8852943143956771E-3</v>
      </c>
      <c r="H71" s="318">
        <v>5.8489653371463215E-3</v>
      </c>
      <c r="I71" s="318">
        <v>5.8489653371463215E-3</v>
      </c>
      <c r="J71" s="318">
        <v>5.8489653371463215E-3</v>
      </c>
      <c r="K71" s="318">
        <v>5.8489653371463215E-3</v>
      </c>
      <c r="L71" s="318">
        <v>5.8489653371463215E-3</v>
      </c>
      <c r="M71" s="318">
        <v>5.8489653371463215E-3</v>
      </c>
      <c r="N71" s="318">
        <v>5.8489653371463215E-3</v>
      </c>
      <c r="O71" s="318">
        <v>5.8489653371463215E-3</v>
      </c>
      <c r="P71" s="318">
        <v>5.8489653371463215E-3</v>
      </c>
      <c r="Q71" s="318">
        <v>5.8489653371463215E-3</v>
      </c>
      <c r="R71" s="318">
        <v>5.8489653371463215E-3</v>
      </c>
      <c r="S71" s="318">
        <v>5.8489653371463215E-3</v>
      </c>
      <c r="T71" s="318">
        <v>5.8489653371463215E-3</v>
      </c>
      <c r="U71" s="318">
        <v>5.8489653371463215E-3</v>
      </c>
    </row>
    <row r="72" spans="1:21" ht="14.4" x14ac:dyDescent="0.3">
      <c r="A72" s="43">
        <v>10</v>
      </c>
      <c r="B72" s="43"/>
      <c r="C72" s="1"/>
      <c r="D72" s="318">
        <v>3.4022526007580932E-3</v>
      </c>
      <c r="E72" s="318">
        <v>3.3729345923748065E-3</v>
      </c>
      <c r="F72" s="318">
        <v>3.3429347698430718E-3</v>
      </c>
      <c r="G72" s="318">
        <v>3.313616761459786E-3</v>
      </c>
      <c r="H72" s="318">
        <v>3.2931623370063305E-3</v>
      </c>
      <c r="I72" s="318">
        <v>3.2931623370063305E-3</v>
      </c>
      <c r="J72" s="318">
        <v>3.2931623370063305E-3</v>
      </c>
      <c r="K72" s="318">
        <v>3.2931623370063305E-3</v>
      </c>
      <c r="L72" s="318">
        <v>3.2931623370063305E-3</v>
      </c>
      <c r="M72" s="318">
        <v>3.2931623370063305E-3</v>
      </c>
      <c r="N72" s="318">
        <v>3.2931623370063305E-3</v>
      </c>
      <c r="O72" s="318">
        <v>3.2931623370063305E-3</v>
      </c>
      <c r="P72" s="318">
        <v>3.2931623370063305E-3</v>
      </c>
      <c r="Q72" s="318">
        <v>3.2931623370063305E-3</v>
      </c>
      <c r="R72" s="318">
        <v>3.2931623370063305E-3</v>
      </c>
      <c r="S72" s="318">
        <v>3.2931623370063305E-3</v>
      </c>
      <c r="T72" s="318">
        <v>3.2931623370063305E-3</v>
      </c>
      <c r="U72" s="318">
        <v>3.2931623370063305E-3</v>
      </c>
    </row>
    <row r="73" spans="1:21" ht="14.4" x14ac:dyDescent="0.3">
      <c r="A73" s="43">
        <v>11</v>
      </c>
      <c r="B73" s="43"/>
      <c r="C73" s="1"/>
      <c r="D73" s="318">
        <v>2.1961941781275649</v>
      </c>
      <c r="E73" s="318">
        <v>2.1772690579553231</v>
      </c>
      <c r="F73" s="318">
        <v>2.1579038187093085</v>
      </c>
      <c r="G73" s="318">
        <v>2.1389786985370671</v>
      </c>
      <c r="H73" s="318">
        <v>2.1257751263238753</v>
      </c>
      <c r="I73" s="318">
        <v>2.1257751263238753</v>
      </c>
      <c r="J73" s="318">
        <v>2.1257751263238753</v>
      </c>
      <c r="K73" s="318">
        <v>2.1257751263238753</v>
      </c>
      <c r="L73" s="318">
        <v>2.1257751263238753</v>
      </c>
      <c r="M73" s="318">
        <v>2.1257751263238753</v>
      </c>
      <c r="N73" s="318">
        <v>2.1257751263238753</v>
      </c>
      <c r="O73" s="318">
        <v>2.1257751263238753</v>
      </c>
      <c r="P73" s="318">
        <v>2.1257751263238753</v>
      </c>
      <c r="Q73" s="318">
        <v>2.1257751263238753</v>
      </c>
      <c r="R73" s="318">
        <v>2.1257751263238753</v>
      </c>
      <c r="S73" s="318">
        <v>2.1257751263238753</v>
      </c>
      <c r="T73" s="318">
        <v>2.1257751263238753</v>
      </c>
      <c r="U73" s="318">
        <v>2.1257751263238753</v>
      </c>
    </row>
    <row r="74" spans="1:21" ht="14.4" x14ac:dyDescent="0.3">
      <c r="A74" s="43">
        <v>12</v>
      </c>
      <c r="B74" s="43"/>
      <c r="C74" s="1"/>
      <c r="D74" s="318">
        <v>2.1272957025884978E-3</v>
      </c>
      <c r="E74" s="318">
        <v>2.1089642967345285E-3</v>
      </c>
      <c r="F74" s="318">
        <v>2.0902065791165137E-3</v>
      </c>
      <c r="G74" s="318">
        <v>2.0718751732625449E-3</v>
      </c>
      <c r="H74" s="318">
        <v>2.0590858203411713E-3</v>
      </c>
      <c r="I74" s="318">
        <v>2.0590858203411713E-3</v>
      </c>
      <c r="J74" s="318">
        <v>2.0590858203411713E-3</v>
      </c>
      <c r="K74" s="318">
        <v>2.0590858203411713E-3</v>
      </c>
      <c r="L74" s="318">
        <v>2.0590858203411713E-3</v>
      </c>
      <c r="M74" s="318">
        <v>2.0590858203411713E-3</v>
      </c>
      <c r="N74" s="318">
        <v>2.0590858203411713E-3</v>
      </c>
      <c r="O74" s="318">
        <v>2.0590858203411713E-3</v>
      </c>
      <c r="P74" s="318">
        <v>2.0590858203411713E-3</v>
      </c>
      <c r="Q74" s="318">
        <v>2.0590858203411713E-3</v>
      </c>
      <c r="R74" s="318">
        <v>2.0590858203411713E-3</v>
      </c>
      <c r="S74" s="318">
        <v>2.0590858203411713E-3</v>
      </c>
      <c r="T74" s="318">
        <v>2.0590858203411713E-3</v>
      </c>
      <c r="U74" s="318">
        <v>2.0590858203411713E-3</v>
      </c>
    </row>
    <row r="75" spans="1:21" ht="14.4" x14ac:dyDescent="0.3">
      <c r="A75" s="43">
        <v>13</v>
      </c>
      <c r="B75" s="43"/>
      <c r="C75" s="1"/>
      <c r="D75" s="318">
        <v>1.4153409083284725</v>
      </c>
      <c r="E75" s="318">
        <v>1.4031445838679264</v>
      </c>
      <c r="F75" s="318">
        <v>1.3906646239548095</v>
      </c>
      <c r="G75" s="318">
        <v>1.3784682994942636</v>
      </c>
      <c r="H75" s="318">
        <v>1.3699592359171386</v>
      </c>
      <c r="I75" s="318">
        <v>1.3699592359171386</v>
      </c>
      <c r="J75" s="318">
        <v>1.3699592359171386</v>
      </c>
      <c r="K75" s="318">
        <v>1.3699592359171386</v>
      </c>
      <c r="L75" s="318">
        <v>1.3699592359171386</v>
      </c>
      <c r="M75" s="318">
        <v>1.3699592359171386</v>
      </c>
      <c r="N75" s="318">
        <v>1.3699592359171386</v>
      </c>
      <c r="O75" s="318">
        <v>1.3699592359171386</v>
      </c>
      <c r="P75" s="318">
        <v>1.3699592359171386</v>
      </c>
      <c r="Q75" s="318">
        <v>1.3699592359171386</v>
      </c>
      <c r="R75" s="318">
        <v>1.3699592359171386</v>
      </c>
      <c r="S75" s="318">
        <v>1.3699592359171386</v>
      </c>
      <c r="T75" s="318">
        <v>1.3699592359171386</v>
      </c>
      <c r="U75" s="318">
        <v>1.3699592359171386</v>
      </c>
    </row>
    <row r="76" spans="1:21" ht="14.4" x14ac:dyDescent="0.3">
      <c r="A76" s="43">
        <v>14</v>
      </c>
      <c r="B76" s="43"/>
      <c r="C76" s="1"/>
      <c r="D76" s="318">
        <v>7.5440707250987536E-3</v>
      </c>
      <c r="E76" s="318">
        <v>7.4790616988103268E-3</v>
      </c>
      <c r="F76" s="318">
        <v>7.4125408347012391E-3</v>
      </c>
      <c r="G76" s="318">
        <v>7.3475318084128141E-3</v>
      </c>
      <c r="H76" s="318">
        <v>7.302176673792982E-3</v>
      </c>
      <c r="I76" s="318">
        <v>7.302176673792982E-3</v>
      </c>
      <c r="J76" s="318">
        <v>7.302176673792982E-3</v>
      </c>
      <c r="K76" s="318">
        <v>7.302176673792982E-3</v>
      </c>
      <c r="L76" s="318">
        <v>7.302176673792982E-3</v>
      </c>
      <c r="M76" s="318">
        <v>7.302176673792982E-3</v>
      </c>
      <c r="N76" s="318">
        <v>7.302176673792982E-3</v>
      </c>
      <c r="O76" s="318">
        <v>7.302176673792982E-3</v>
      </c>
      <c r="P76" s="318">
        <v>7.302176673792982E-3</v>
      </c>
      <c r="Q76" s="318">
        <v>7.302176673792982E-3</v>
      </c>
      <c r="R76" s="318">
        <v>7.302176673792982E-3</v>
      </c>
      <c r="S76" s="318">
        <v>7.302176673792982E-3</v>
      </c>
      <c r="T76" s="318">
        <v>7.302176673792982E-3</v>
      </c>
      <c r="U76" s="318">
        <v>7.302176673792982E-3</v>
      </c>
    </row>
    <row r="77" spans="1:21" ht="14.4" x14ac:dyDescent="0.3">
      <c r="A77" s="43">
        <v>15</v>
      </c>
      <c r="B77" s="43"/>
      <c r="C77" s="1"/>
      <c r="D77" s="318">
        <v>1.4057523855031829E-3</v>
      </c>
      <c r="E77" s="318">
        <v>1.393638687592033E-3</v>
      </c>
      <c r="F77" s="318">
        <v>1.3812432757759729E-3</v>
      </c>
      <c r="G77" s="318">
        <v>1.3691295778648234E-3</v>
      </c>
      <c r="H77" s="318">
        <v>1.3606781607175098E-3</v>
      </c>
      <c r="I77" s="318">
        <v>1.3606781607175098E-3</v>
      </c>
      <c r="J77" s="318">
        <v>1.3606781607175098E-3</v>
      </c>
      <c r="K77" s="318">
        <v>1.3606781607175098E-3</v>
      </c>
      <c r="L77" s="318">
        <v>1.3606781607175098E-3</v>
      </c>
      <c r="M77" s="318">
        <v>1.3606781607175098E-3</v>
      </c>
      <c r="N77" s="318">
        <v>1.3606781607175098E-3</v>
      </c>
      <c r="O77" s="318">
        <v>1.3606781607175098E-3</v>
      </c>
      <c r="P77" s="318">
        <v>1.3606781607175098E-3</v>
      </c>
      <c r="Q77" s="318">
        <v>1.3606781607175098E-3</v>
      </c>
      <c r="R77" s="318">
        <v>1.3606781607175098E-3</v>
      </c>
      <c r="S77" s="318">
        <v>1.3606781607175098E-3</v>
      </c>
      <c r="T77" s="318">
        <v>1.3606781607175098E-3</v>
      </c>
      <c r="U77" s="318">
        <v>1.3606781607175098E-3</v>
      </c>
    </row>
    <row r="78" spans="1:21" ht="14.4" x14ac:dyDescent="0.3">
      <c r="A78" s="43">
        <v>16</v>
      </c>
      <c r="B78" s="43"/>
      <c r="C78" s="1"/>
      <c r="D78" s="318">
        <v>6.3134207948196252E-3</v>
      </c>
      <c r="E78" s="318">
        <v>6.2590165675295954E-3</v>
      </c>
      <c r="F78" s="318">
        <v>6.2033471256514264E-3</v>
      </c>
      <c r="G78" s="318">
        <v>6.1489428983613984E-3</v>
      </c>
      <c r="H78" s="318">
        <v>6.1109864607171924E-3</v>
      </c>
      <c r="I78" s="318">
        <v>6.1109864607171924E-3</v>
      </c>
      <c r="J78" s="318">
        <v>6.1109864607171924E-3</v>
      </c>
      <c r="K78" s="318">
        <v>6.1109864607171924E-3</v>
      </c>
      <c r="L78" s="318">
        <v>6.1109864607171924E-3</v>
      </c>
      <c r="M78" s="318">
        <v>6.1109864607171924E-3</v>
      </c>
      <c r="N78" s="318">
        <v>6.1109864607171924E-3</v>
      </c>
      <c r="O78" s="318">
        <v>6.1109864607171924E-3</v>
      </c>
      <c r="P78" s="318">
        <v>6.1109864607171924E-3</v>
      </c>
      <c r="Q78" s="318">
        <v>6.1109864607171924E-3</v>
      </c>
      <c r="R78" s="318">
        <v>6.1109864607171924E-3</v>
      </c>
      <c r="S78" s="318">
        <v>6.1109864607171924E-3</v>
      </c>
      <c r="T78" s="318">
        <v>6.1109864607171924E-3</v>
      </c>
      <c r="U78" s="318">
        <v>6.1109864607171924E-3</v>
      </c>
    </row>
    <row r="79" spans="1:21" ht="14.4" x14ac:dyDescent="0.3">
      <c r="A79" s="43">
        <v>17</v>
      </c>
      <c r="B79" s="43"/>
      <c r="C79" s="1"/>
      <c r="D79" s="318">
        <v>0.70551904702869006</v>
      </c>
      <c r="E79" s="318">
        <v>0.69943942397814218</v>
      </c>
      <c r="F79" s="318">
        <v>0.6932184143450234</v>
      </c>
      <c r="G79" s="318">
        <v>0.68713879129447564</v>
      </c>
      <c r="H79" s="318">
        <v>0.68289719381734926</v>
      </c>
      <c r="I79" s="318">
        <v>0.68289719381734926</v>
      </c>
      <c r="J79" s="318">
        <v>0.68289719381734926</v>
      </c>
      <c r="K79" s="318">
        <v>0.68289719381734926</v>
      </c>
      <c r="L79" s="318">
        <v>0.68289719381734926</v>
      </c>
      <c r="M79" s="318">
        <v>0.68289719381734926</v>
      </c>
      <c r="N79" s="318">
        <v>0.68289719381734926</v>
      </c>
      <c r="O79" s="318">
        <v>0.68289719381734926</v>
      </c>
      <c r="P79" s="318">
        <v>0.68289719381734926</v>
      </c>
      <c r="Q79" s="318">
        <v>0.68289719381734926</v>
      </c>
      <c r="R79" s="318">
        <v>0.68289719381734926</v>
      </c>
      <c r="S79" s="318">
        <v>0.68289719381734926</v>
      </c>
      <c r="T79" s="318">
        <v>0.68289719381734926</v>
      </c>
      <c r="U79" s="318">
        <v>0.68289719381734926</v>
      </c>
    </row>
    <row r="80" spans="1:21" ht="14.4" x14ac:dyDescent="0.3">
      <c r="A80" s="43">
        <v>18</v>
      </c>
      <c r="B80" s="43"/>
      <c r="C80" s="1"/>
      <c r="D80" s="318">
        <v>1.883836831846854E-3</v>
      </c>
      <c r="E80" s="318">
        <v>1.8676033681656085E-3</v>
      </c>
      <c r="F80" s="318">
        <v>1.8509923820731712E-3</v>
      </c>
      <c r="G80" s="318">
        <v>1.834758918391926E-3</v>
      </c>
      <c r="H80" s="318">
        <v>1.8234332460561734E-3</v>
      </c>
      <c r="I80" s="318">
        <v>1.8234332460561734E-3</v>
      </c>
      <c r="J80" s="318">
        <v>1.8234332460561734E-3</v>
      </c>
      <c r="K80" s="318">
        <v>1.8234332460561734E-3</v>
      </c>
      <c r="L80" s="318">
        <v>1.8234332460561734E-3</v>
      </c>
      <c r="M80" s="318">
        <v>1.8234332460561734E-3</v>
      </c>
      <c r="N80" s="318">
        <v>1.8234332460561734E-3</v>
      </c>
      <c r="O80" s="318">
        <v>1.8234332460561734E-3</v>
      </c>
      <c r="P80" s="318">
        <v>1.8234332460561734E-3</v>
      </c>
      <c r="Q80" s="318">
        <v>1.8234332460561734E-3</v>
      </c>
      <c r="R80" s="318">
        <v>1.8234332460561734E-3</v>
      </c>
      <c r="S80" s="318">
        <v>1.8234332460561734E-3</v>
      </c>
      <c r="T80" s="318">
        <v>1.8234332460561734E-3</v>
      </c>
      <c r="U80" s="318">
        <v>1.8234332460561734E-3</v>
      </c>
    </row>
    <row r="81" spans="1:21" ht="14.4" x14ac:dyDescent="0.3">
      <c r="A81" s="43">
        <v>19</v>
      </c>
      <c r="B81" s="43"/>
      <c r="C81" s="1"/>
      <c r="D81" s="318">
        <v>0.6629431724617828</v>
      </c>
      <c r="E81" s="318">
        <v>0.65723043570509809</v>
      </c>
      <c r="F81" s="318">
        <v>0.6513848446052346</v>
      </c>
      <c r="G81" s="318">
        <v>0.64567210784855</v>
      </c>
      <c r="H81" s="318">
        <v>0.64168647755318864</v>
      </c>
      <c r="I81" s="318">
        <v>0.64168647755318864</v>
      </c>
      <c r="J81" s="318">
        <v>0.64168647755318864</v>
      </c>
      <c r="K81" s="318">
        <v>0.64168647755318864</v>
      </c>
      <c r="L81" s="318">
        <v>0.64168647755318864</v>
      </c>
      <c r="M81" s="318">
        <v>0.64168647755318864</v>
      </c>
      <c r="N81" s="318">
        <v>0.64168647755318864</v>
      </c>
      <c r="O81" s="318">
        <v>0.64168647755318864</v>
      </c>
      <c r="P81" s="318">
        <v>0.64168647755318864</v>
      </c>
      <c r="Q81" s="318">
        <v>0.64168647755318864</v>
      </c>
      <c r="R81" s="318">
        <v>0.64168647755318864</v>
      </c>
      <c r="S81" s="318">
        <v>0.64168647755318864</v>
      </c>
      <c r="T81" s="318">
        <v>0.64168647755318864</v>
      </c>
      <c r="U81" s="318">
        <v>0.64168647755318864</v>
      </c>
    </row>
    <row r="82" spans="1:21" ht="14.4" x14ac:dyDescent="0.3">
      <c r="A82" s="43">
        <v>20</v>
      </c>
      <c r="B82" s="43"/>
      <c r="C82" s="1"/>
      <c r="D82" s="318">
        <v>2.4847736216957093E-3</v>
      </c>
      <c r="E82" s="318">
        <v>2.4633617447953251E-3</v>
      </c>
      <c r="F82" s="318">
        <v>2.4414519172693506E-3</v>
      </c>
      <c r="G82" s="318">
        <v>2.4200400403689673E-3</v>
      </c>
      <c r="H82" s="318">
        <v>2.4051015216012576E-3</v>
      </c>
      <c r="I82" s="318">
        <v>2.4051015216012576E-3</v>
      </c>
      <c r="J82" s="318">
        <v>2.4051015216012576E-3</v>
      </c>
      <c r="K82" s="318">
        <v>2.4051015216012576E-3</v>
      </c>
      <c r="L82" s="318">
        <v>2.4051015216012576E-3</v>
      </c>
      <c r="M82" s="318">
        <v>2.4051015216012576E-3</v>
      </c>
      <c r="N82" s="318">
        <v>2.4051015216012576E-3</v>
      </c>
      <c r="O82" s="318">
        <v>2.4051015216012576E-3</v>
      </c>
      <c r="P82" s="318">
        <v>2.4051015216012576E-3</v>
      </c>
      <c r="Q82" s="318">
        <v>2.4051015216012576E-3</v>
      </c>
      <c r="R82" s="318">
        <v>2.4051015216012576E-3</v>
      </c>
      <c r="S82" s="318">
        <v>2.4051015216012576E-3</v>
      </c>
      <c r="T82" s="318">
        <v>2.4051015216012576E-3</v>
      </c>
      <c r="U82" s="318">
        <v>2.4051015216012576E-3</v>
      </c>
    </row>
    <row r="83" spans="1:21" ht="14.4" x14ac:dyDescent="0.3">
      <c r="A83" s="43">
        <v>21</v>
      </c>
      <c r="B83" s="43"/>
      <c r="C83" s="1"/>
      <c r="D83" s="318">
        <v>1.1171759052434347E-3</v>
      </c>
      <c r="E83" s="318">
        <v>1.1075489385249039E-3</v>
      </c>
      <c r="F83" s="318">
        <v>1.0976980888594307E-3</v>
      </c>
      <c r="G83" s="318">
        <v>1.0880711221409004E-3</v>
      </c>
      <c r="H83" s="318">
        <v>1.0813546337326231E-3</v>
      </c>
      <c r="I83" s="318">
        <v>1.0813546337326231E-3</v>
      </c>
      <c r="J83" s="318">
        <v>1.0813546337326231E-3</v>
      </c>
      <c r="K83" s="318">
        <v>1.0813546337326231E-3</v>
      </c>
      <c r="L83" s="318">
        <v>1.0813546337326231E-3</v>
      </c>
      <c r="M83" s="318">
        <v>1.0813546337326231E-3</v>
      </c>
      <c r="N83" s="318">
        <v>1.0813546337326231E-3</v>
      </c>
      <c r="O83" s="318">
        <v>1.0813546337326231E-3</v>
      </c>
      <c r="P83" s="318">
        <v>1.0813546337326231E-3</v>
      </c>
      <c r="Q83" s="318">
        <v>1.0813546337326231E-3</v>
      </c>
      <c r="R83" s="318">
        <v>1.0813546337326231E-3</v>
      </c>
      <c r="S83" s="318">
        <v>1.0813546337326231E-3</v>
      </c>
      <c r="T83" s="318">
        <v>1.0813546337326231E-3</v>
      </c>
      <c r="U83" s="318">
        <v>1.0813546337326231E-3</v>
      </c>
    </row>
    <row r="84" spans="1:21" ht="14.4" x14ac:dyDescent="0.3">
      <c r="A84" s="43">
        <v>22</v>
      </c>
      <c r="B84" s="43"/>
      <c r="C84" s="1"/>
      <c r="D84" s="318">
        <v>3.777557927030085E-3</v>
      </c>
      <c r="E84" s="318">
        <v>3.7450058246528712E-3</v>
      </c>
      <c r="F84" s="318">
        <v>3.7116966966389787E-3</v>
      </c>
      <c r="G84" s="318">
        <v>3.6791445942617657E-3</v>
      </c>
      <c r="H84" s="318">
        <v>3.6564338251613847E-3</v>
      </c>
      <c r="I84" s="318">
        <v>3.6564338251613847E-3</v>
      </c>
      <c r="J84" s="318">
        <v>3.6564338251613847E-3</v>
      </c>
      <c r="K84" s="318">
        <v>3.6564338251613847E-3</v>
      </c>
      <c r="L84" s="318">
        <v>3.6564338251613847E-3</v>
      </c>
      <c r="M84" s="318">
        <v>3.6564338251613847E-3</v>
      </c>
      <c r="N84" s="318">
        <v>3.6564338251613847E-3</v>
      </c>
      <c r="O84" s="318">
        <v>3.6564338251613847E-3</v>
      </c>
      <c r="P84" s="318">
        <v>3.6564338251613847E-3</v>
      </c>
      <c r="Q84" s="318">
        <v>3.6564338251613847E-3</v>
      </c>
      <c r="R84" s="318">
        <v>3.6564338251613847E-3</v>
      </c>
      <c r="S84" s="318">
        <v>3.6564338251613847E-3</v>
      </c>
      <c r="T84" s="318">
        <v>3.6564338251613847E-3</v>
      </c>
      <c r="U84" s="318">
        <v>3.6564338251613847E-3</v>
      </c>
    </row>
    <row r="85" spans="1:21" ht="14.4" x14ac:dyDescent="0.3">
      <c r="A85" s="43">
        <v>23</v>
      </c>
      <c r="B85" s="43"/>
      <c r="C85" s="1"/>
      <c r="D85" s="318">
        <v>0.39578666643260285</v>
      </c>
      <c r="E85" s="318">
        <v>0.39237607992827378</v>
      </c>
      <c r="F85" s="318">
        <v>0.38888617745872778</v>
      </c>
      <c r="G85" s="318">
        <v>0.38547559095439876</v>
      </c>
      <c r="H85" s="318">
        <v>0.38309611199789012</v>
      </c>
      <c r="I85" s="318">
        <v>0.38309611199789012</v>
      </c>
      <c r="J85" s="318">
        <v>0.38309611199789012</v>
      </c>
      <c r="K85" s="318">
        <v>0.38309611199789012</v>
      </c>
      <c r="L85" s="318">
        <v>0.38309611199789012</v>
      </c>
      <c r="M85" s="318">
        <v>0.38309611199789012</v>
      </c>
      <c r="N85" s="318">
        <v>0.38309611199789012</v>
      </c>
      <c r="O85" s="318">
        <v>0.38309611199789012</v>
      </c>
      <c r="P85" s="318">
        <v>0.38309611199789012</v>
      </c>
      <c r="Q85" s="318">
        <v>0.38309611199789012</v>
      </c>
      <c r="R85" s="318">
        <v>0.38309611199789012</v>
      </c>
      <c r="S85" s="318">
        <v>0.38309611199789012</v>
      </c>
      <c r="T85" s="318">
        <v>0.38309611199789012</v>
      </c>
      <c r="U85" s="318">
        <v>0.38309611199789012</v>
      </c>
    </row>
    <row r="86" spans="1:21" ht="14.4" x14ac:dyDescent="0.3">
      <c r="A86" s="43">
        <v>24</v>
      </c>
      <c r="B86" s="43"/>
      <c r="C86" s="1"/>
      <c r="D86" s="318">
        <v>5.3285223690435811E-4</v>
      </c>
      <c r="E86" s="318">
        <v>5.282605242416552E-4</v>
      </c>
      <c r="F86" s="318">
        <v>5.2356202756354052E-4</v>
      </c>
      <c r="G86" s="318">
        <v>5.1897031490083772E-4</v>
      </c>
      <c r="H86" s="318">
        <v>5.1576679443848686E-4</v>
      </c>
      <c r="I86" s="318">
        <v>5.1576679443848686E-4</v>
      </c>
      <c r="J86" s="318">
        <v>5.1576679443848686E-4</v>
      </c>
      <c r="K86" s="318">
        <v>5.1576679443848686E-4</v>
      </c>
      <c r="L86" s="318">
        <v>5.1576679443848686E-4</v>
      </c>
      <c r="M86" s="318">
        <v>5.1576679443848686E-4</v>
      </c>
      <c r="N86" s="318">
        <v>5.1576679443848686E-4</v>
      </c>
      <c r="O86" s="318">
        <v>5.1576679443848686E-4</v>
      </c>
      <c r="P86" s="318">
        <v>5.1576679443848686E-4</v>
      </c>
      <c r="Q86" s="318">
        <v>5.1576679443848686E-4</v>
      </c>
      <c r="R86" s="318">
        <v>5.1576679443848686E-4</v>
      </c>
      <c r="S86" s="318">
        <v>5.1576679443848686E-4</v>
      </c>
      <c r="T86" s="318">
        <v>5.1576679443848686E-4</v>
      </c>
      <c r="U86" s="318">
        <v>5.1576679443848686E-4</v>
      </c>
    </row>
    <row r="87" spans="1:21" ht="14.4" x14ac:dyDescent="0.3">
      <c r="A87" s="43">
        <v>25</v>
      </c>
      <c r="B87" s="43"/>
      <c r="C87" s="1"/>
      <c r="D87" s="318">
        <v>0.31776955307117605</v>
      </c>
      <c r="E87" s="318">
        <v>0.31503125832527207</v>
      </c>
      <c r="F87" s="318">
        <v>0.31222928230620756</v>
      </c>
      <c r="G87" s="318">
        <v>0.30949098756030369</v>
      </c>
      <c r="H87" s="318">
        <v>0.30758054936548701</v>
      </c>
      <c r="I87" s="318">
        <v>0.30758054936548701</v>
      </c>
      <c r="J87" s="318">
        <v>0.30758054936548701</v>
      </c>
      <c r="K87" s="318">
        <v>0.30758054936548701</v>
      </c>
      <c r="L87" s="318">
        <v>0.30758054936548701</v>
      </c>
      <c r="M87" s="318">
        <v>0.30758054936548701</v>
      </c>
      <c r="N87" s="318">
        <v>0.30758054936548701</v>
      </c>
      <c r="O87" s="318">
        <v>0.30758054936548701</v>
      </c>
      <c r="P87" s="318">
        <v>0.30758054936548701</v>
      </c>
      <c r="Q87" s="318">
        <v>0.30758054936548701</v>
      </c>
      <c r="R87" s="318">
        <v>0.30758054936548701</v>
      </c>
      <c r="S87" s="318">
        <v>0.30758054936548701</v>
      </c>
      <c r="T87" s="318">
        <v>0.30758054936548701</v>
      </c>
      <c r="U87" s="318">
        <v>0.30758054936548701</v>
      </c>
    </row>
    <row r="88" spans="1:21" ht="14.4" x14ac:dyDescent="0.3">
      <c r="A88" s="43">
        <v>26</v>
      </c>
      <c r="B88" s="43"/>
      <c r="C88" s="1"/>
      <c r="D88" s="318">
        <v>2.730123890123639E-3</v>
      </c>
      <c r="E88" s="318">
        <v>2.7065977724331945E-3</v>
      </c>
      <c r="F88" s="318">
        <v>2.6825245357266934E-3</v>
      </c>
      <c r="G88" s="318">
        <v>2.6589984180362494E-3</v>
      </c>
      <c r="H88" s="318">
        <v>2.6425848475545442E-3</v>
      </c>
      <c r="I88" s="318">
        <v>2.6425848475545442E-3</v>
      </c>
      <c r="J88" s="318">
        <v>2.6425848475545442E-3</v>
      </c>
      <c r="K88" s="318">
        <v>2.6425848475545442E-3</v>
      </c>
      <c r="L88" s="318">
        <v>2.6425848475545442E-3</v>
      </c>
      <c r="M88" s="318">
        <v>2.6425848475545442E-3</v>
      </c>
      <c r="N88" s="318">
        <v>2.6425848475545442E-3</v>
      </c>
      <c r="O88" s="318">
        <v>2.6425848475545442E-3</v>
      </c>
      <c r="P88" s="318">
        <v>2.6425848475545442E-3</v>
      </c>
      <c r="Q88" s="318">
        <v>2.6425848475545442E-3</v>
      </c>
      <c r="R88" s="318">
        <v>2.6425848475545442E-3</v>
      </c>
      <c r="S88" s="318">
        <v>2.6425848475545442E-3</v>
      </c>
      <c r="T88" s="318">
        <v>2.6425848475545442E-3</v>
      </c>
      <c r="U88" s="318">
        <v>2.6425848475545442E-3</v>
      </c>
    </row>
    <row r="89" spans="1:21" ht="14.4" x14ac:dyDescent="0.3">
      <c r="A89" s="43">
        <v>27</v>
      </c>
      <c r="B89" s="43"/>
      <c r="C89" s="1"/>
      <c r="D89" s="318">
        <v>1.0483219422451294E-3</v>
      </c>
      <c r="E89" s="318">
        <v>1.0392883062698705E-3</v>
      </c>
      <c r="F89" s="318">
        <v>1.0300445857370478E-3</v>
      </c>
      <c r="G89" s="318">
        <v>1.0210109497617893E-3</v>
      </c>
      <c r="H89" s="318">
        <v>1.0147084130348648E-3</v>
      </c>
      <c r="I89" s="318">
        <v>1.0147084130348648E-3</v>
      </c>
      <c r="J89" s="318">
        <v>1.0147084130348648E-3</v>
      </c>
      <c r="K89" s="318">
        <v>1.0147084130348648E-3</v>
      </c>
      <c r="L89" s="318">
        <v>1.0147084130348648E-3</v>
      </c>
      <c r="M89" s="318">
        <v>1.0147084130348648E-3</v>
      </c>
      <c r="N89" s="318">
        <v>1.0147084130348648E-3</v>
      </c>
      <c r="O89" s="318">
        <v>1.0147084130348648E-3</v>
      </c>
      <c r="P89" s="318">
        <v>1.0147084130348648E-3</v>
      </c>
      <c r="Q89" s="318">
        <v>1.0147084130348648E-3</v>
      </c>
      <c r="R89" s="318">
        <v>1.0147084130348648E-3</v>
      </c>
      <c r="S89" s="318">
        <v>1.0147084130348648E-3</v>
      </c>
      <c r="T89" s="318">
        <v>1.0147084130348648E-3</v>
      </c>
      <c r="U89" s="318">
        <v>1.0147084130348648E-3</v>
      </c>
    </row>
    <row r="90" spans="1:21" ht="14.4" x14ac:dyDescent="0.3">
      <c r="A90" s="43">
        <v>28</v>
      </c>
      <c r="B90" s="43"/>
      <c r="C90" s="1"/>
      <c r="D90" s="318">
        <v>1.6713228686753869E-3</v>
      </c>
      <c r="E90" s="318">
        <v>1.656920687642713E-3</v>
      </c>
      <c r="F90" s="318">
        <v>1.6421835721674189E-3</v>
      </c>
      <c r="G90" s="318">
        <v>1.6277813911347455E-3</v>
      </c>
      <c r="H90" s="318">
        <v>1.6177333578561359E-3</v>
      </c>
      <c r="I90" s="318">
        <v>1.6177333578561359E-3</v>
      </c>
      <c r="J90" s="318">
        <v>1.6177333578561359E-3</v>
      </c>
      <c r="K90" s="318">
        <v>1.6177333578561359E-3</v>
      </c>
      <c r="L90" s="318">
        <v>1.6177333578561359E-3</v>
      </c>
      <c r="M90" s="318">
        <v>1.6177333578561359E-3</v>
      </c>
      <c r="N90" s="318">
        <v>1.6177333578561359E-3</v>
      </c>
      <c r="O90" s="318">
        <v>1.6177333578561359E-3</v>
      </c>
      <c r="P90" s="318">
        <v>1.6177333578561359E-3</v>
      </c>
      <c r="Q90" s="318">
        <v>1.6177333578561359E-3</v>
      </c>
      <c r="R90" s="318">
        <v>1.6177333578561359E-3</v>
      </c>
      <c r="S90" s="318">
        <v>1.6177333578561359E-3</v>
      </c>
      <c r="T90" s="318">
        <v>1.6177333578561359E-3</v>
      </c>
      <c r="U90" s="318">
        <v>1.6177333578561359E-3</v>
      </c>
    </row>
    <row r="91" spans="1:21" ht="14.4" x14ac:dyDescent="0.3">
      <c r="A91" s="43">
        <v>29</v>
      </c>
      <c r="B91" s="43"/>
      <c r="C91" s="1"/>
      <c r="D91" s="318">
        <v>0.28662223900981759</v>
      </c>
      <c r="E91" s="318">
        <v>0.28415234797225802</v>
      </c>
      <c r="F91" s="318">
        <v>0.28162501760824354</v>
      </c>
      <c r="G91" s="318">
        <v>0.27915512657068403</v>
      </c>
      <c r="H91" s="318">
        <v>0.27743194677703786</v>
      </c>
      <c r="I91" s="318">
        <v>0.27743194677703786</v>
      </c>
      <c r="J91" s="318">
        <v>0.27743194677703786</v>
      </c>
      <c r="K91" s="318">
        <v>0.27743194677703786</v>
      </c>
      <c r="L91" s="318">
        <v>0.27743194677703786</v>
      </c>
      <c r="M91" s="318">
        <v>0.27743194677703786</v>
      </c>
      <c r="N91" s="318">
        <v>0.27743194677703786</v>
      </c>
      <c r="O91" s="318">
        <v>0.27743194677703786</v>
      </c>
      <c r="P91" s="318">
        <v>0.27743194677703786</v>
      </c>
      <c r="Q91" s="318">
        <v>0.27743194677703786</v>
      </c>
      <c r="R91" s="318">
        <v>0.27743194677703786</v>
      </c>
      <c r="S91" s="318">
        <v>0.27743194677703786</v>
      </c>
      <c r="T91" s="318">
        <v>0.27743194677703786</v>
      </c>
      <c r="U91" s="318">
        <v>0.27743194677703786</v>
      </c>
    </row>
    <row r="92" spans="1:21" ht="14.4" x14ac:dyDescent="0.3">
      <c r="A92" s="43">
        <v>30</v>
      </c>
      <c r="B92" s="43"/>
      <c r="C92" s="1"/>
      <c r="D92" s="318">
        <v>8.285496296213758E-4</v>
      </c>
      <c r="E92" s="318">
        <v>8.2140982319377676E-4</v>
      </c>
      <c r="F92" s="318">
        <v>8.1410397475623346E-4</v>
      </c>
      <c r="G92" s="318">
        <v>8.0696416832863453E-4</v>
      </c>
      <c r="H92" s="318">
        <v>8.0198290803030971E-4</v>
      </c>
      <c r="I92" s="318">
        <v>8.0198290803030971E-4</v>
      </c>
      <c r="J92" s="318">
        <v>8.0198290803030971E-4</v>
      </c>
      <c r="K92" s="318">
        <v>8.0198290803030971E-4</v>
      </c>
      <c r="L92" s="318">
        <v>8.0198290803030971E-4</v>
      </c>
      <c r="M92" s="318">
        <v>8.0198290803030971E-4</v>
      </c>
      <c r="N92" s="318">
        <v>8.0198290803030971E-4</v>
      </c>
      <c r="O92" s="318">
        <v>8.0198290803030971E-4</v>
      </c>
      <c r="P92" s="318">
        <v>8.0198290803030971E-4</v>
      </c>
      <c r="Q92" s="318">
        <v>8.0198290803030971E-4</v>
      </c>
      <c r="R92" s="318">
        <v>8.0198290803030971E-4</v>
      </c>
      <c r="S92" s="318">
        <v>8.0198290803030971E-4</v>
      </c>
      <c r="T92" s="318">
        <v>8.0198290803030971E-4</v>
      </c>
      <c r="U92" s="318">
        <v>8.0198290803030971E-4</v>
      </c>
    </row>
    <row r="93" spans="1:21" ht="14.4" x14ac:dyDescent="0.3">
      <c r="A93" s="43">
        <v>31</v>
      </c>
      <c r="B93" s="43"/>
      <c r="C93" s="1"/>
      <c r="D93" s="318">
        <v>0.23581489486773383</v>
      </c>
      <c r="E93" s="318">
        <v>0.23378282262739061</v>
      </c>
      <c r="F93" s="318">
        <v>0.23170349289308592</v>
      </c>
      <c r="G93" s="318">
        <v>0.22967142065274276</v>
      </c>
      <c r="H93" s="318">
        <v>0.22825369583389868</v>
      </c>
      <c r="I93" s="318">
        <v>0.22825369583389868</v>
      </c>
      <c r="J93" s="318">
        <v>0.22825369583389868</v>
      </c>
      <c r="K93" s="318">
        <v>0.22825369583389868</v>
      </c>
      <c r="L93" s="318">
        <v>0.22825369583389868</v>
      </c>
      <c r="M93" s="318">
        <v>0.22825369583389868</v>
      </c>
      <c r="N93" s="318">
        <v>0.22825369583389868</v>
      </c>
      <c r="O93" s="318">
        <v>0.22825369583389868</v>
      </c>
      <c r="P93" s="318">
        <v>0.22825369583389868</v>
      </c>
      <c r="Q93" s="318">
        <v>0.22825369583389868</v>
      </c>
      <c r="R93" s="318">
        <v>0.22825369583389868</v>
      </c>
      <c r="S93" s="318">
        <v>0.22825369583389868</v>
      </c>
      <c r="T93" s="318">
        <v>0.22825369583389868</v>
      </c>
      <c r="U93" s="318">
        <v>0.22825369583389868</v>
      </c>
    </row>
    <row r="94" spans="1:21" ht="14.4" x14ac:dyDescent="0.3">
      <c r="A94" s="43">
        <v>32</v>
      </c>
      <c r="B94" s="43"/>
      <c r="C94" s="1"/>
      <c r="D94" s="318">
        <v>2.7919226840816386E-3</v>
      </c>
      <c r="E94" s="318">
        <v>2.7678640316937601E-3</v>
      </c>
      <c r="F94" s="318">
        <v>2.7432458757619782E-3</v>
      </c>
      <c r="G94" s="318">
        <v>2.7191872233741005E-3</v>
      </c>
      <c r="H94" s="318">
        <v>2.7024021170569765E-3</v>
      </c>
      <c r="I94" s="318">
        <v>2.7024021170569765E-3</v>
      </c>
      <c r="J94" s="318">
        <v>2.7024021170569765E-3</v>
      </c>
      <c r="K94" s="318">
        <v>2.7024021170569765E-3</v>
      </c>
      <c r="L94" s="318">
        <v>2.7024021170569765E-3</v>
      </c>
      <c r="M94" s="318">
        <v>2.7024021170569765E-3</v>
      </c>
      <c r="N94" s="318">
        <v>2.7024021170569765E-3</v>
      </c>
      <c r="O94" s="318">
        <v>2.7024021170569765E-3</v>
      </c>
      <c r="P94" s="318">
        <v>2.7024021170569765E-3</v>
      </c>
      <c r="Q94" s="318">
        <v>2.7024021170569765E-3</v>
      </c>
      <c r="R94" s="318">
        <v>2.7024021170569765E-3</v>
      </c>
      <c r="S94" s="318">
        <v>2.7024021170569765E-3</v>
      </c>
      <c r="T94" s="318">
        <v>2.7024021170569765E-3</v>
      </c>
      <c r="U94" s="318">
        <v>2.7024021170569765E-3</v>
      </c>
    </row>
    <row r="95" spans="1:21" ht="14.4" x14ac:dyDescent="0.3">
      <c r="A95" s="43">
        <v>33</v>
      </c>
      <c r="B95" s="43"/>
      <c r="C95" s="1"/>
      <c r="D95" s="318">
        <v>2.46052719314709E-4</v>
      </c>
      <c r="E95" s="318">
        <v>2.4393242534065439E-4</v>
      </c>
      <c r="F95" s="318">
        <v>2.4176282220441246E-4</v>
      </c>
      <c r="G95" s="318">
        <v>2.3964252823035787E-4</v>
      </c>
      <c r="H95" s="318">
        <v>2.381632533647384E-4</v>
      </c>
      <c r="I95" s="318">
        <v>2.381632533647384E-4</v>
      </c>
      <c r="J95" s="318">
        <v>2.381632533647384E-4</v>
      </c>
      <c r="K95" s="318">
        <v>2.381632533647384E-4</v>
      </c>
      <c r="L95" s="318">
        <v>2.381632533647384E-4</v>
      </c>
      <c r="M95" s="318">
        <v>2.381632533647384E-4</v>
      </c>
      <c r="N95" s="318">
        <v>2.381632533647384E-4</v>
      </c>
      <c r="O95" s="318">
        <v>2.381632533647384E-4</v>
      </c>
      <c r="P95" s="318">
        <v>2.381632533647384E-4</v>
      </c>
      <c r="Q95" s="318">
        <v>2.381632533647384E-4</v>
      </c>
      <c r="R95" s="318">
        <v>2.381632533647384E-4</v>
      </c>
      <c r="S95" s="318">
        <v>2.381632533647384E-4</v>
      </c>
      <c r="T95" s="318">
        <v>2.381632533647384E-4</v>
      </c>
      <c r="U95" s="318">
        <v>2.381632533647384E-4</v>
      </c>
    </row>
    <row r="96" spans="1:21" ht="14.4" x14ac:dyDescent="0.3">
      <c r="A96" s="43">
        <v>34</v>
      </c>
      <c r="B96" s="43"/>
      <c r="C96"/>
      <c r="D96" s="318">
        <v>2.7595054084989341E-3</v>
      </c>
      <c r="E96" s="318">
        <v>2.7357261033755962E-3</v>
      </c>
      <c r="F96" s="318">
        <v>2.7113937911563669E-3</v>
      </c>
      <c r="G96" s="318">
        <v>2.6876144860330299E-3</v>
      </c>
      <c r="H96" s="318">
        <v>2.6710242731562829E-3</v>
      </c>
      <c r="I96" s="318">
        <v>2.6710242731562829E-3</v>
      </c>
      <c r="J96" s="318">
        <v>2.6710242731562829E-3</v>
      </c>
      <c r="K96" s="318">
        <v>2.6710242731562829E-3</v>
      </c>
      <c r="L96" s="318">
        <v>2.6710242731562829E-3</v>
      </c>
      <c r="M96" s="318">
        <v>2.6710242731562829E-3</v>
      </c>
      <c r="N96" s="318">
        <v>2.6710242731562829E-3</v>
      </c>
      <c r="O96" s="318">
        <v>2.6710242731562829E-3</v>
      </c>
      <c r="P96" s="318">
        <v>2.6710242731562829E-3</v>
      </c>
      <c r="Q96" s="318">
        <v>2.6710242731562829E-3</v>
      </c>
      <c r="R96" s="318">
        <v>2.6710242731562829E-3</v>
      </c>
      <c r="S96" s="318">
        <v>2.6710242731562829E-3</v>
      </c>
      <c r="T96" s="318">
        <v>2.6710242731562829E-3</v>
      </c>
      <c r="U96" s="318">
        <v>2.6710242731562829E-3</v>
      </c>
    </row>
    <row r="97" spans="1:21" ht="14.4" x14ac:dyDescent="0.3">
      <c r="A97" s="43">
        <v>35</v>
      </c>
      <c r="B97" s="43"/>
      <c r="C97" s="1"/>
      <c r="D97" s="318">
        <v>0.17683135878704348</v>
      </c>
      <c r="E97" s="318">
        <v>0.17530756150691462</v>
      </c>
      <c r="F97" s="318">
        <v>0.17374832708073629</v>
      </c>
      <c r="G97" s="318">
        <v>0.17222452980060746</v>
      </c>
      <c r="H97" s="318">
        <v>0.17116141541912225</v>
      </c>
      <c r="I97" s="318">
        <v>0.17116141541912225</v>
      </c>
      <c r="J97" s="318">
        <v>0.17116141541912225</v>
      </c>
      <c r="K97" s="318">
        <v>0.17116141541912225</v>
      </c>
      <c r="L97" s="318">
        <v>0.17116141541912225</v>
      </c>
      <c r="M97" s="318">
        <v>0.17116141541912225</v>
      </c>
      <c r="N97" s="318">
        <v>0.17116141541912225</v>
      </c>
      <c r="O97" s="318">
        <v>0.17116141541912225</v>
      </c>
      <c r="P97" s="318">
        <v>0.17116141541912225</v>
      </c>
      <c r="Q97" s="318">
        <v>0.17116141541912225</v>
      </c>
      <c r="R97" s="318">
        <v>0.17116141541912225</v>
      </c>
      <c r="S97" s="318">
        <v>0.17116141541912225</v>
      </c>
      <c r="T97" s="318">
        <v>0.17116141541912225</v>
      </c>
      <c r="U97" s="318">
        <v>0.17116141541912225</v>
      </c>
    </row>
    <row r="98" spans="1:21" ht="14.4" x14ac:dyDescent="0.3">
      <c r="A98" s="43">
        <v>36</v>
      </c>
      <c r="B98" s="43"/>
      <c r="C98"/>
      <c r="D98" s="318">
        <v>6.3098340187504919E-4</v>
      </c>
      <c r="E98" s="318">
        <v>6.2554606995508376E-4</v>
      </c>
      <c r="F98" s="318">
        <v>6.1998228845558433E-4</v>
      </c>
      <c r="G98" s="318">
        <v>6.1454495653561901E-4</v>
      </c>
      <c r="H98" s="318">
        <v>6.1075146914959676E-4</v>
      </c>
      <c r="I98" s="318">
        <v>6.1075146914959676E-4</v>
      </c>
      <c r="J98" s="318">
        <v>6.1075146914959676E-4</v>
      </c>
      <c r="K98" s="318">
        <v>6.1075146914959676E-4</v>
      </c>
      <c r="L98" s="318">
        <v>6.1075146914959676E-4</v>
      </c>
      <c r="M98" s="318">
        <v>6.1075146914959676E-4</v>
      </c>
      <c r="N98" s="318">
        <v>6.1075146914959676E-4</v>
      </c>
      <c r="O98" s="318">
        <v>6.1075146914959676E-4</v>
      </c>
      <c r="P98" s="318">
        <v>6.1075146914959676E-4</v>
      </c>
      <c r="Q98" s="318">
        <v>6.1075146914959676E-4</v>
      </c>
      <c r="R98" s="318">
        <v>6.1075146914959676E-4</v>
      </c>
      <c r="S98" s="318">
        <v>6.1075146914959676E-4</v>
      </c>
      <c r="T98" s="318">
        <v>6.1075146914959676E-4</v>
      </c>
      <c r="U98" s="318">
        <v>6.1075146914959676E-4</v>
      </c>
    </row>
    <row r="99" spans="1:21" ht="14.4" x14ac:dyDescent="0.3">
      <c r="A99" s="43">
        <v>37</v>
      </c>
      <c r="B99" s="43"/>
      <c r="C99" s="1"/>
      <c r="D99" s="318">
        <v>0.1702634207871582</v>
      </c>
      <c r="E99" s="318">
        <v>0.16879622096875183</v>
      </c>
      <c r="F99" s="318">
        <v>0.16729490022433599</v>
      </c>
      <c r="G99" s="318">
        <v>0.16582770040592965</v>
      </c>
      <c r="H99" s="318">
        <v>0.16480407262564611</v>
      </c>
      <c r="I99" s="318">
        <v>0.16480407262564611</v>
      </c>
      <c r="J99" s="318">
        <v>0.16480407262564611</v>
      </c>
      <c r="K99" s="318">
        <v>0.16480407262564611</v>
      </c>
      <c r="L99" s="318">
        <v>0.16480407262564611</v>
      </c>
      <c r="M99" s="318">
        <v>0.16480407262564611</v>
      </c>
      <c r="N99" s="318">
        <v>0.16480407262564611</v>
      </c>
      <c r="O99" s="318">
        <v>0.16480407262564611</v>
      </c>
      <c r="P99" s="318">
        <v>0.16480407262564611</v>
      </c>
      <c r="Q99" s="318">
        <v>0.16480407262564611</v>
      </c>
      <c r="R99" s="318">
        <v>0.16480407262564611</v>
      </c>
      <c r="S99" s="318">
        <v>0.16480407262564611</v>
      </c>
      <c r="T99" s="318">
        <v>0.16480407262564611</v>
      </c>
      <c r="U99" s="318">
        <v>0.16480407262564611</v>
      </c>
    </row>
    <row r="100" spans="1:21" ht="14.4" x14ac:dyDescent="0.3">
      <c r="A100" s="43">
        <v>38</v>
      </c>
      <c r="B100" s="43"/>
      <c r="C100"/>
      <c r="D100" s="318">
        <v>1.1703704137204639E-3</v>
      </c>
      <c r="E100" s="318">
        <v>1.1602850574499268E-3</v>
      </c>
      <c r="F100" s="318">
        <v>1.1499651580103075E-3</v>
      </c>
      <c r="G100" s="318">
        <v>1.1398798017397706E-3</v>
      </c>
      <c r="H100" s="318">
        <v>1.1328435066673029E-3</v>
      </c>
      <c r="I100" s="318">
        <v>1.1328435066673029E-3</v>
      </c>
      <c r="J100" s="318">
        <v>1.1328435066673029E-3</v>
      </c>
      <c r="K100" s="318">
        <v>1.1328435066673029E-3</v>
      </c>
      <c r="L100" s="318">
        <v>1.1328435066673029E-3</v>
      </c>
      <c r="M100" s="318">
        <v>1.1328435066673029E-3</v>
      </c>
      <c r="N100" s="318">
        <v>1.1328435066673029E-3</v>
      </c>
      <c r="O100" s="318">
        <v>1.1328435066673029E-3</v>
      </c>
      <c r="P100" s="318">
        <v>1.1328435066673029E-3</v>
      </c>
      <c r="Q100" s="318">
        <v>1.1328435066673029E-3</v>
      </c>
      <c r="R100" s="318">
        <v>1.1328435066673029E-3</v>
      </c>
      <c r="S100" s="318">
        <v>1.1328435066673029E-3</v>
      </c>
      <c r="T100" s="318">
        <v>1.1328435066673029E-3</v>
      </c>
      <c r="U100" s="318">
        <v>1.1328435066673029E-3</v>
      </c>
    </row>
    <row r="101" spans="1:21" ht="14.4" x14ac:dyDescent="0.3">
      <c r="A101" s="43">
        <v>39</v>
      </c>
      <c r="B101" s="43"/>
      <c r="C101" s="1"/>
      <c r="D101" s="318">
        <v>6.6428961820331556E-4</v>
      </c>
      <c r="E101" s="318">
        <v>6.5856527880797633E-4</v>
      </c>
      <c r="F101" s="318">
        <v>6.5270781524065242E-4</v>
      </c>
      <c r="G101" s="318">
        <v>6.4698347584531341E-4</v>
      </c>
      <c r="H101" s="318">
        <v>6.4298975068577445E-4</v>
      </c>
      <c r="I101" s="318">
        <v>6.4298975068577445E-4</v>
      </c>
      <c r="J101" s="318">
        <v>6.4298975068577445E-4</v>
      </c>
      <c r="K101" s="318">
        <v>6.4298975068577445E-4</v>
      </c>
      <c r="L101" s="318">
        <v>6.4298975068577445E-4</v>
      </c>
      <c r="M101" s="318">
        <v>6.4298975068577445E-4</v>
      </c>
      <c r="N101" s="318">
        <v>6.4298975068577445E-4</v>
      </c>
      <c r="O101" s="318">
        <v>6.4298975068577445E-4</v>
      </c>
      <c r="P101" s="318">
        <v>6.4298975068577445E-4</v>
      </c>
      <c r="Q101" s="318">
        <v>6.4298975068577445E-4</v>
      </c>
      <c r="R101" s="318">
        <v>6.4298975068577445E-4</v>
      </c>
      <c r="S101" s="318">
        <v>6.4298975068577445E-4</v>
      </c>
      <c r="T101" s="318">
        <v>6.4298975068577445E-4</v>
      </c>
      <c r="U101" s="318">
        <v>6.4298975068577445E-4</v>
      </c>
    </row>
    <row r="102" spans="1:21" ht="14.4" x14ac:dyDescent="0.3">
      <c r="A102" s="43">
        <v>40</v>
      </c>
      <c r="B102" s="43"/>
      <c r="C102"/>
      <c r="D102" s="318">
        <v>1.5808064481076536E-3</v>
      </c>
      <c r="E102" s="318">
        <v>1.5671842682943007E-3</v>
      </c>
      <c r="F102" s="318">
        <v>1.5532452936015679E-3</v>
      </c>
      <c r="G102" s="318">
        <v>1.5396231137882156E-3</v>
      </c>
      <c r="H102" s="318">
        <v>1.5301192674068069E-3</v>
      </c>
      <c r="I102" s="318">
        <v>1.5301192674068069E-3</v>
      </c>
      <c r="J102" s="318">
        <v>1.5301192674068069E-3</v>
      </c>
      <c r="K102" s="318">
        <v>1.5301192674068069E-3</v>
      </c>
      <c r="L102" s="318">
        <v>1.5301192674068069E-3</v>
      </c>
      <c r="M102" s="318">
        <v>1.5301192674068069E-3</v>
      </c>
      <c r="N102" s="318">
        <v>1.5301192674068069E-3</v>
      </c>
      <c r="O102" s="318">
        <v>1.5301192674068069E-3</v>
      </c>
      <c r="P102" s="318">
        <v>1.5301192674068069E-3</v>
      </c>
      <c r="Q102" s="318">
        <v>1.5301192674068069E-3</v>
      </c>
      <c r="R102" s="318">
        <v>1.5301192674068069E-3</v>
      </c>
      <c r="S102" s="318">
        <v>1.5301192674068069E-3</v>
      </c>
      <c r="T102" s="318">
        <v>1.5301192674068069E-3</v>
      </c>
      <c r="U102" s="318">
        <v>1.5301192674068069E-3</v>
      </c>
    </row>
    <row r="103" spans="1:21" ht="14.4" x14ac:dyDescent="0.3">
      <c r="A103" s="43">
        <v>41</v>
      </c>
      <c r="B103" s="43"/>
      <c r="C103" s="1"/>
      <c r="D103" s="318">
        <v>0.12689902611613454</v>
      </c>
      <c r="E103" s="318">
        <v>0.12580550745421193</v>
      </c>
      <c r="F103" s="318">
        <v>0.124686558125733</v>
      </c>
      <c r="G103" s="318">
        <v>0.12359303946381041</v>
      </c>
      <c r="H103" s="318">
        <v>0.12283011946712022</v>
      </c>
      <c r="I103" s="318">
        <v>0.12283011946712022</v>
      </c>
      <c r="J103" s="318">
        <v>0.12283011946712022</v>
      </c>
      <c r="K103" s="318">
        <v>0.12283011946712022</v>
      </c>
      <c r="L103" s="318">
        <v>0.12283011946712022</v>
      </c>
      <c r="M103" s="318">
        <v>0.12283011946712022</v>
      </c>
      <c r="N103" s="318">
        <v>0.12283011946712022</v>
      </c>
      <c r="O103" s="318">
        <v>0.12283011946712022</v>
      </c>
      <c r="P103" s="318">
        <v>0.12283011946712022</v>
      </c>
      <c r="Q103" s="318">
        <v>0.12283011946712022</v>
      </c>
      <c r="R103" s="318">
        <v>0.12283011946712022</v>
      </c>
      <c r="S103" s="318">
        <v>0.12283011946712022</v>
      </c>
      <c r="T103" s="318">
        <v>0.12283011946712022</v>
      </c>
      <c r="U103" s="318">
        <v>0.12283011946712022</v>
      </c>
    </row>
    <row r="104" spans="1:21" ht="14.4" x14ac:dyDescent="0.3">
      <c r="A104" s="43">
        <v>42</v>
      </c>
      <c r="B104" s="43"/>
      <c r="C104"/>
      <c r="D104" s="318">
        <v>2.4095366497059592E-4</v>
      </c>
      <c r="E104" s="318">
        <v>2.3887731074339436E-4</v>
      </c>
      <c r="F104" s="318">
        <v>2.3675266920858347E-4</v>
      </c>
      <c r="G104" s="318">
        <v>2.3467631498138197E-4</v>
      </c>
      <c r="H104" s="318">
        <v>2.3322769575310185E-4</v>
      </c>
      <c r="I104" s="318">
        <v>2.3322769575310185E-4</v>
      </c>
      <c r="J104" s="318">
        <v>2.3322769575310185E-4</v>
      </c>
      <c r="K104" s="318">
        <v>2.3322769575310185E-4</v>
      </c>
      <c r="L104" s="318">
        <v>2.3322769575310185E-4</v>
      </c>
      <c r="M104" s="318">
        <v>2.3322769575310185E-4</v>
      </c>
      <c r="N104" s="318">
        <v>2.3322769575310185E-4</v>
      </c>
      <c r="O104" s="318">
        <v>2.3322769575310185E-4</v>
      </c>
      <c r="P104" s="318">
        <v>2.3322769575310185E-4</v>
      </c>
      <c r="Q104" s="318">
        <v>2.3322769575310185E-4</v>
      </c>
      <c r="R104" s="318">
        <v>2.3322769575310185E-4</v>
      </c>
      <c r="S104" s="318">
        <v>2.3322769575310185E-4</v>
      </c>
      <c r="T104" s="318">
        <v>2.3322769575310185E-4</v>
      </c>
      <c r="U104" s="318">
        <v>2.3322769575310185E-4</v>
      </c>
    </row>
    <row r="105" spans="1:21" ht="14.4" x14ac:dyDescent="0.3">
      <c r="A105" s="43">
        <v>43</v>
      </c>
      <c r="B105" s="43"/>
      <c r="C105" s="1"/>
      <c r="D105" s="318">
        <v>0.1128807414715028</v>
      </c>
      <c r="E105" s="318">
        <v>0.1119080216552153</v>
      </c>
      <c r="F105" s="318">
        <v>0.11091268044785134</v>
      </c>
      <c r="G105" s="318">
        <v>0.10993996063156386</v>
      </c>
      <c r="H105" s="318">
        <v>0.10926131889927025</v>
      </c>
      <c r="I105" s="318">
        <v>0.10926131889927025</v>
      </c>
      <c r="J105" s="318">
        <v>0.10926131889927025</v>
      </c>
      <c r="K105" s="318">
        <v>0.10926131889927025</v>
      </c>
      <c r="L105" s="318">
        <v>0.10926131889927025</v>
      </c>
      <c r="M105" s="318">
        <v>0.10926131889927025</v>
      </c>
      <c r="N105" s="318">
        <v>0.10926131889927025</v>
      </c>
      <c r="O105" s="318">
        <v>0.10926131889927025</v>
      </c>
      <c r="P105" s="318">
        <v>0.10926131889927025</v>
      </c>
      <c r="Q105" s="318">
        <v>0.10926131889927025</v>
      </c>
      <c r="R105" s="318">
        <v>0.10926131889927025</v>
      </c>
      <c r="S105" s="318">
        <v>0.10926131889927025</v>
      </c>
      <c r="T105" s="318">
        <v>0.10926131889927025</v>
      </c>
      <c r="U105" s="318">
        <v>0.10926131889927025</v>
      </c>
    </row>
    <row r="106" spans="1:21" ht="14.4" x14ac:dyDescent="0.3">
      <c r="A106" s="43">
        <v>44</v>
      </c>
      <c r="B106" s="43"/>
      <c r="C106"/>
      <c r="D106" s="318">
        <v>1.8562243124160176E-3</v>
      </c>
      <c r="E106" s="318">
        <v>1.8402287922889857E-3</v>
      </c>
      <c r="F106" s="318">
        <v>1.8238612833217903E-3</v>
      </c>
      <c r="G106" s="318">
        <v>1.8078657631947586E-3</v>
      </c>
      <c r="H106" s="318">
        <v>1.7967060979898527E-3</v>
      </c>
      <c r="I106" s="318">
        <v>1.7967060979898527E-3</v>
      </c>
      <c r="J106" s="318">
        <v>1.7967060979898527E-3</v>
      </c>
      <c r="K106" s="318">
        <v>1.7967060979898527E-3</v>
      </c>
      <c r="L106" s="318">
        <v>1.7967060979898527E-3</v>
      </c>
      <c r="M106" s="318">
        <v>1.7967060979898527E-3</v>
      </c>
      <c r="N106" s="318">
        <v>1.7967060979898527E-3</v>
      </c>
      <c r="O106" s="318">
        <v>1.7967060979898527E-3</v>
      </c>
      <c r="P106" s="318">
        <v>1.7967060979898527E-3</v>
      </c>
      <c r="Q106" s="318">
        <v>1.7967060979898527E-3</v>
      </c>
      <c r="R106" s="318">
        <v>1.7967060979898527E-3</v>
      </c>
      <c r="S106" s="318">
        <v>1.7967060979898527E-3</v>
      </c>
      <c r="T106" s="318">
        <v>1.7967060979898527E-3</v>
      </c>
      <c r="U106" s="318">
        <v>1.7967060979898527E-3</v>
      </c>
    </row>
    <row r="107" spans="1:21" ht="14.4" x14ac:dyDescent="0.3">
      <c r="A107" s="43">
        <v>45</v>
      </c>
      <c r="B107" s="43"/>
      <c r="C107" s="1"/>
      <c r="D107" s="318">
        <v>3.5345677459194163E-4</v>
      </c>
      <c r="E107" s="318">
        <v>3.5041095469064831E-4</v>
      </c>
      <c r="F107" s="318">
        <v>3.4729430176839467E-4</v>
      </c>
      <c r="G107" s="318">
        <v>3.4424848186710147E-4</v>
      </c>
      <c r="H107" s="318">
        <v>3.4212349123829218E-4</v>
      </c>
      <c r="I107" s="318">
        <v>3.4212349123829218E-4</v>
      </c>
      <c r="J107" s="318">
        <v>3.4212349123829218E-4</v>
      </c>
      <c r="K107" s="318">
        <v>3.4212349123829218E-4</v>
      </c>
      <c r="L107" s="318">
        <v>3.4212349123829218E-4</v>
      </c>
      <c r="M107" s="318">
        <v>3.4212349123829218E-4</v>
      </c>
      <c r="N107" s="318">
        <v>3.4212349123829218E-4</v>
      </c>
      <c r="O107" s="318">
        <v>3.4212349123829218E-4</v>
      </c>
      <c r="P107" s="318">
        <v>3.4212349123829218E-4</v>
      </c>
      <c r="Q107" s="318">
        <v>3.4212349123829218E-4</v>
      </c>
      <c r="R107" s="318">
        <v>3.4212349123829218E-4</v>
      </c>
      <c r="S107" s="318">
        <v>3.4212349123829218E-4</v>
      </c>
      <c r="T107" s="318">
        <v>3.4212349123829218E-4</v>
      </c>
      <c r="U107" s="318">
        <v>3.4212349123829218E-4</v>
      </c>
    </row>
    <row r="108" spans="1:21" ht="14.4" x14ac:dyDescent="0.3">
      <c r="A108" s="43">
        <v>46</v>
      </c>
      <c r="B108" s="43"/>
      <c r="C108"/>
      <c r="D108" s="318">
        <v>1.4179687765222223E-3</v>
      </c>
      <c r="E108" s="318">
        <v>1.4057498071052973E-3</v>
      </c>
      <c r="F108" s="318">
        <v>1.3932466756089088E-3</v>
      </c>
      <c r="G108" s="318">
        <v>1.381027706191984E-3</v>
      </c>
      <c r="H108" s="318">
        <v>1.3725028438080829E-3</v>
      </c>
      <c r="I108" s="318">
        <v>1.3725028438080829E-3</v>
      </c>
      <c r="J108" s="318">
        <v>1.3725028438080829E-3</v>
      </c>
      <c r="K108" s="318">
        <v>1.3725028438080829E-3</v>
      </c>
      <c r="L108" s="318">
        <v>1.3725028438080829E-3</v>
      </c>
      <c r="M108" s="318">
        <v>1.3725028438080829E-3</v>
      </c>
      <c r="N108" s="318">
        <v>1.3725028438080829E-3</v>
      </c>
      <c r="O108" s="318">
        <v>1.3725028438080829E-3</v>
      </c>
      <c r="P108" s="318">
        <v>1.3725028438080829E-3</v>
      </c>
      <c r="Q108" s="318">
        <v>1.3725028438080829E-3</v>
      </c>
      <c r="R108" s="318">
        <v>1.3725028438080829E-3</v>
      </c>
      <c r="S108" s="318">
        <v>1.3725028438080829E-3</v>
      </c>
      <c r="T108" s="318">
        <v>1.3725028438080829E-3</v>
      </c>
      <c r="U108" s="318">
        <v>1.3725028438080829E-3</v>
      </c>
    </row>
    <row r="109" spans="1:21" ht="14.4" x14ac:dyDescent="0.3">
      <c r="A109" s="43">
        <v>47</v>
      </c>
      <c r="B109" s="43"/>
      <c r="C109" s="1"/>
      <c r="D109" s="318">
        <v>0.10627143062294452</v>
      </c>
      <c r="E109" s="318">
        <v>0.10535566478791714</v>
      </c>
      <c r="F109" s="318">
        <v>0.10441860207300539</v>
      </c>
      <c r="G109" s="318">
        <v>0.10350283623797803</v>
      </c>
      <c r="H109" s="318">
        <v>0.10286392984144729</v>
      </c>
      <c r="I109" s="318">
        <v>0.10286392984144729</v>
      </c>
      <c r="J109" s="318">
        <v>0.10286392984144729</v>
      </c>
      <c r="K109" s="318">
        <v>0.10286392984144729</v>
      </c>
      <c r="L109" s="318">
        <v>0.10286392984144729</v>
      </c>
      <c r="M109" s="318">
        <v>0.10286392984144729</v>
      </c>
      <c r="N109" s="318">
        <v>0.10286392984144729</v>
      </c>
      <c r="O109" s="318">
        <v>0.10286392984144729</v>
      </c>
      <c r="P109" s="318">
        <v>0.10286392984144729</v>
      </c>
      <c r="Q109" s="318">
        <v>0.10286392984144729</v>
      </c>
      <c r="R109" s="318">
        <v>0.10286392984144729</v>
      </c>
      <c r="S109" s="318">
        <v>0.10286392984144729</v>
      </c>
      <c r="T109" s="318">
        <v>0.10286392984144729</v>
      </c>
      <c r="U109" s="318">
        <v>0.10286392984144729</v>
      </c>
    </row>
    <row r="110" spans="1:21" ht="14.4" x14ac:dyDescent="0.3">
      <c r="A110" s="43">
        <v>48</v>
      </c>
      <c r="B110" s="43"/>
      <c r="C110"/>
      <c r="D110" s="318">
        <v>5.0457473136599602E-4</v>
      </c>
      <c r="E110" s="318">
        <v>5.0022669259871383E-4</v>
      </c>
      <c r="F110" s="318">
        <v>4.9577753665079724E-4</v>
      </c>
      <c r="G110" s="318">
        <v>4.9142949788351516E-4</v>
      </c>
      <c r="H110" s="318">
        <v>4.8839598246448116E-4</v>
      </c>
      <c r="I110" s="318">
        <v>4.8839598246448116E-4</v>
      </c>
      <c r="J110" s="318">
        <v>4.8839598246448116E-4</v>
      </c>
      <c r="K110" s="318">
        <v>4.8839598246448116E-4</v>
      </c>
      <c r="L110" s="318">
        <v>4.8839598246448116E-4</v>
      </c>
      <c r="M110" s="318">
        <v>4.8839598246448116E-4</v>
      </c>
      <c r="N110" s="318">
        <v>4.8839598246448116E-4</v>
      </c>
      <c r="O110" s="318">
        <v>4.8839598246448116E-4</v>
      </c>
      <c r="P110" s="318">
        <v>4.8839598246448116E-4</v>
      </c>
      <c r="Q110" s="318">
        <v>4.8839598246448116E-4</v>
      </c>
      <c r="R110" s="318">
        <v>4.8839598246448116E-4</v>
      </c>
      <c r="S110" s="318">
        <v>4.8839598246448116E-4</v>
      </c>
      <c r="T110" s="318">
        <v>4.8839598246448116E-4</v>
      </c>
      <c r="U110" s="318">
        <v>4.8839598246448116E-4</v>
      </c>
    </row>
    <row r="111" spans="1:21" ht="14.4" x14ac:dyDescent="0.3">
      <c r="A111" s="43">
        <v>49</v>
      </c>
      <c r="B111" s="43"/>
      <c r="C111" s="1"/>
      <c r="D111" s="318">
        <v>9.297577199585369E-2</v>
      </c>
      <c r="E111" s="318">
        <v>9.2174577968634902E-2</v>
      </c>
      <c r="F111" s="318">
        <v>9.1354751522178465E-2</v>
      </c>
      <c r="G111" s="318">
        <v>9.0553557494959705E-2</v>
      </c>
      <c r="H111" s="318">
        <v>8.9994584917830328E-2</v>
      </c>
      <c r="I111" s="318">
        <v>8.9994584917830328E-2</v>
      </c>
      <c r="J111" s="318">
        <v>8.9994584917830328E-2</v>
      </c>
      <c r="K111" s="318">
        <v>8.9994584917830328E-2</v>
      </c>
      <c r="L111" s="318">
        <v>8.9994584917830328E-2</v>
      </c>
      <c r="M111" s="318">
        <v>8.9994584917830328E-2</v>
      </c>
      <c r="N111" s="318">
        <v>8.9994584917830328E-2</v>
      </c>
      <c r="O111" s="318">
        <v>8.9994584917830328E-2</v>
      </c>
      <c r="P111" s="318">
        <v>8.9994584917830328E-2</v>
      </c>
      <c r="Q111" s="318">
        <v>8.9994584917830328E-2</v>
      </c>
      <c r="R111" s="318">
        <v>8.9994584917830328E-2</v>
      </c>
      <c r="S111" s="318">
        <v>8.9994584917830328E-2</v>
      </c>
      <c r="T111" s="318">
        <v>8.9994584917830328E-2</v>
      </c>
      <c r="U111" s="318">
        <v>8.9994584917830328E-2</v>
      </c>
    </row>
    <row r="112" spans="1:21" ht="14.4" x14ac:dyDescent="0.3">
      <c r="A112" s="43">
        <v>50</v>
      </c>
      <c r="B112" s="43"/>
      <c r="C112"/>
      <c r="D112" s="318">
        <v>1.4177758511646067E-3</v>
      </c>
      <c r="E112" s="318">
        <v>1.4055585442307231E-3</v>
      </c>
      <c r="F112" s="318">
        <v>1.3930571138797726E-3</v>
      </c>
      <c r="G112" s="318">
        <v>1.3808398069458895E-3</v>
      </c>
      <c r="H112" s="318">
        <v>1.3723161044338777E-3</v>
      </c>
      <c r="I112" s="318">
        <v>1.3723161044338777E-3</v>
      </c>
      <c r="J112" s="318">
        <v>1.3723161044338777E-3</v>
      </c>
      <c r="K112" s="318">
        <v>1.3723161044338777E-3</v>
      </c>
      <c r="L112" s="318">
        <v>1.3723161044338777E-3</v>
      </c>
      <c r="M112" s="318">
        <v>1.3723161044338777E-3</v>
      </c>
      <c r="N112" s="318">
        <v>1.3723161044338777E-3</v>
      </c>
      <c r="O112" s="318">
        <v>1.3723161044338777E-3</v>
      </c>
      <c r="P112" s="318">
        <v>1.3723161044338777E-3</v>
      </c>
      <c r="Q112" s="318">
        <v>1.3723161044338777E-3</v>
      </c>
      <c r="R112" s="318">
        <v>1.3723161044338777E-3</v>
      </c>
      <c r="S112" s="318">
        <v>1.3723161044338777E-3</v>
      </c>
      <c r="T112" s="318">
        <v>1.3723161044338777E-3</v>
      </c>
      <c r="U112" s="318">
        <v>1.3723161044338777E-3</v>
      </c>
    </row>
    <row r="113" spans="2:21" x14ac:dyDescent="0.25">
      <c r="D113" s="51"/>
      <c r="E113" s="32"/>
      <c r="F113" s="32"/>
      <c r="G113" s="32"/>
    </row>
    <row r="114" spans="2:21" x14ac:dyDescent="0.25">
      <c r="B114" s="26" t="s">
        <v>5</v>
      </c>
      <c r="D114" s="32">
        <f t="shared" ref="D114:U114" si="9">SQRT(SUMSQ(D64:D112))</f>
        <v>4.986442504597016</v>
      </c>
      <c r="E114" s="32">
        <f t="shared" si="9"/>
        <v>4.9434731603690265</v>
      </c>
      <c r="F114" s="32">
        <f t="shared" si="9"/>
        <v>4.8995045290659665</v>
      </c>
      <c r="G114" s="32">
        <f t="shared" si="9"/>
        <v>4.8565351848379752</v>
      </c>
      <c r="H114" s="32">
        <f t="shared" si="9"/>
        <v>4.826556572585889</v>
      </c>
      <c r="I114" s="32">
        <f t="shared" si="9"/>
        <v>4.826556572585889</v>
      </c>
      <c r="J114" s="32">
        <f t="shared" si="9"/>
        <v>4.826556572585889</v>
      </c>
      <c r="K114" s="32">
        <f t="shared" si="9"/>
        <v>4.826556572585889</v>
      </c>
      <c r="L114" s="32">
        <f t="shared" si="9"/>
        <v>4.826556572585889</v>
      </c>
      <c r="M114" s="32">
        <f t="shared" si="9"/>
        <v>4.826556572585889</v>
      </c>
      <c r="N114" s="32">
        <f t="shared" si="9"/>
        <v>4.826556572585889</v>
      </c>
      <c r="O114" s="32">
        <f t="shared" si="9"/>
        <v>4.826556572585889</v>
      </c>
      <c r="P114" s="32">
        <f t="shared" si="9"/>
        <v>4.826556572585889</v>
      </c>
      <c r="Q114" s="32">
        <f t="shared" si="9"/>
        <v>4.826556572585889</v>
      </c>
      <c r="R114" s="32">
        <f t="shared" si="9"/>
        <v>4.826556572585889</v>
      </c>
      <c r="S114" s="32">
        <f t="shared" si="9"/>
        <v>4.826556572585889</v>
      </c>
      <c r="T114" s="32">
        <f t="shared" si="9"/>
        <v>4.826556572585889</v>
      </c>
      <c r="U114" s="32">
        <f t="shared" si="9"/>
        <v>4.826556572585889</v>
      </c>
    </row>
    <row r="115" spans="2:21" x14ac:dyDescent="0.25">
      <c r="S115" s="82"/>
    </row>
    <row r="116" spans="2:21" x14ac:dyDescent="0.25">
      <c r="D116" s="32"/>
      <c r="E116" s="32"/>
      <c r="F116" s="32"/>
      <c r="G116" s="32"/>
      <c r="H116" s="32"/>
      <c r="I116" s="32"/>
      <c r="M116" s="32"/>
      <c r="N116" s="32"/>
    </row>
    <row r="118" spans="2:21" x14ac:dyDescent="0.25">
      <c r="D118" s="32"/>
      <c r="E118" s="32"/>
      <c r="F118" s="32"/>
      <c r="G118" s="32"/>
      <c r="H118" s="32"/>
      <c r="I118" s="32"/>
    </row>
  </sheetData>
  <pageMargins left="0.75" right="0.75" top="1" bottom="1" header="0.5" footer="0.5"/>
  <pageSetup scale="42" fitToHeight="2" orientation="portrait" r:id="rId1"/>
  <headerFooter alignWithMargins="0">
    <oddHeader>&amp;R&amp;D
&amp;T
rh</oddHeader>
    <oddFooter>&amp;L&amp;F
&amp;A</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U118"/>
  <sheetViews>
    <sheetView workbookViewId="0">
      <selection activeCell="F1" sqref="F1"/>
    </sheetView>
  </sheetViews>
  <sheetFormatPr defaultRowHeight="13.2" x14ac:dyDescent="0.25"/>
  <cols>
    <col min="1" max="7" width="9.109375" style="26"/>
    <col min="8" max="8" width="10.6640625" style="26" customWidth="1"/>
    <col min="9" max="263" width="9.109375" style="26"/>
    <col min="264" max="264" width="10.6640625" style="26" customWidth="1"/>
    <col min="265" max="519" width="9.109375" style="26"/>
    <col min="520" max="520" width="10.6640625" style="26" customWidth="1"/>
    <col min="521" max="775" width="9.109375" style="26"/>
    <col min="776" max="776" width="10.6640625" style="26" customWidth="1"/>
    <col min="777" max="1031" width="9.109375" style="26"/>
    <col min="1032" max="1032" width="10.6640625" style="26" customWidth="1"/>
    <col min="1033" max="1287" width="9.109375" style="26"/>
    <col min="1288" max="1288" width="10.6640625" style="26" customWidth="1"/>
    <col min="1289" max="1543" width="9.109375" style="26"/>
    <col min="1544" max="1544" width="10.6640625" style="26" customWidth="1"/>
    <col min="1545" max="1799" width="9.109375" style="26"/>
    <col min="1800" max="1800" width="10.6640625" style="26" customWidth="1"/>
    <col min="1801" max="2055" width="9.109375" style="26"/>
    <col min="2056" max="2056" width="10.6640625" style="26" customWidth="1"/>
    <col min="2057" max="2311" width="9.109375" style="26"/>
    <col min="2312" max="2312" width="10.6640625" style="26" customWidth="1"/>
    <col min="2313" max="2567" width="9.109375" style="26"/>
    <col min="2568" max="2568" width="10.6640625" style="26" customWidth="1"/>
    <col min="2569" max="2823" width="9.109375" style="26"/>
    <col min="2824" max="2824" width="10.6640625" style="26" customWidth="1"/>
    <col min="2825" max="3079" width="9.109375" style="26"/>
    <col min="3080" max="3080" width="10.6640625" style="26" customWidth="1"/>
    <col min="3081" max="3335" width="9.109375" style="26"/>
    <col min="3336" max="3336" width="10.6640625" style="26" customWidth="1"/>
    <col min="3337" max="3591" width="9.109375" style="26"/>
    <col min="3592" max="3592" width="10.6640625" style="26" customWidth="1"/>
    <col min="3593" max="3847" width="9.109375" style="26"/>
    <col min="3848" max="3848" width="10.6640625" style="26" customWidth="1"/>
    <col min="3849" max="4103" width="9.109375" style="26"/>
    <col min="4104" max="4104" width="10.6640625" style="26" customWidth="1"/>
    <col min="4105" max="4359" width="9.109375" style="26"/>
    <col min="4360" max="4360" width="10.6640625" style="26" customWidth="1"/>
    <col min="4361" max="4615" width="9.109375" style="26"/>
    <col min="4616" max="4616" width="10.6640625" style="26" customWidth="1"/>
    <col min="4617" max="4871" width="9.109375" style="26"/>
    <col min="4872" max="4872" width="10.6640625" style="26" customWidth="1"/>
    <col min="4873" max="5127" width="9.109375" style="26"/>
    <col min="5128" max="5128" width="10.6640625" style="26" customWidth="1"/>
    <col min="5129" max="5383" width="9.109375" style="26"/>
    <col min="5384" max="5384" width="10.6640625" style="26" customWidth="1"/>
    <col min="5385" max="5639" width="9.109375" style="26"/>
    <col min="5640" max="5640" width="10.6640625" style="26" customWidth="1"/>
    <col min="5641" max="5895" width="9.109375" style="26"/>
    <col min="5896" max="5896" width="10.6640625" style="26" customWidth="1"/>
    <col min="5897" max="6151" width="9.109375" style="26"/>
    <col min="6152" max="6152" width="10.6640625" style="26" customWidth="1"/>
    <col min="6153" max="6407" width="9.109375" style="26"/>
    <col min="6408" max="6408" width="10.6640625" style="26" customWidth="1"/>
    <col min="6409" max="6663" width="9.109375" style="26"/>
    <col min="6664" max="6664" width="10.6640625" style="26" customWidth="1"/>
    <col min="6665" max="6919" width="9.109375" style="26"/>
    <col min="6920" max="6920" width="10.6640625" style="26" customWidth="1"/>
    <col min="6921" max="7175" width="9.109375" style="26"/>
    <col min="7176" max="7176" width="10.6640625" style="26" customWidth="1"/>
    <col min="7177" max="7431" width="9.109375" style="26"/>
    <col min="7432" max="7432" width="10.6640625" style="26" customWidth="1"/>
    <col min="7433" max="7687" width="9.109375" style="26"/>
    <col min="7688" max="7688" width="10.6640625" style="26" customWidth="1"/>
    <col min="7689" max="7943" width="9.109375" style="26"/>
    <col min="7944" max="7944" width="10.6640625" style="26" customWidth="1"/>
    <col min="7945" max="8199" width="9.109375" style="26"/>
    <col min="8200" max="8200" width="10.6640625" style="26" customWidth="1"/>
    <col min="8201" max="8455" width="9.109375" style="26"/>
    <col min="8456" max="8456" width="10.6640625" style="26" customWidth="1"/>
    <col min="8457" max="8711" width="9.109375" style="26"/>
    <col min="8712" max="8712" width="10.6640625" style="26" customWidth="1"/>
    <col min="8713" max="8967" width="9.109375" style="26"/>
    <col min="8968" max="8968" width="10.6640625" style="26" customWidth="1"/>
    <col min="8969" max="9223" width="9.109375" style="26"/>
    <col min="9224" max="9224" width="10.6640625" style="26" customWidth="1"/>
    <col min="9225" max="9479" width="9.109375" style="26"/>
    <col min="9480" max="9480" width="10.6640625" style="26" customWidth="1"/>
    <col min="9481" max="9735" width="9.109375" style="26"/>
    <col min="9736" max="9736" width="10.6640625" style="26" customWidth="1"/>
    <col min="9737" max="9991" width="9.109375" style="26"/>
    <col min="9992" max="9992" width="10.6640625" style="26" customWidth="1"/>
    <col min="9993" max="10247" width="9.109375" style="26"/>
    <col min="10248" max="10248" width="10.6640625" style="26" customWidth="1"/>
    <col min="10249" max="10503" width="9.109375" style="26"/>
    <col min="10504" max="10504" width="10.6640625" style="26" customWidth="1"/>
    <col min="10505" max="10759" width="9.109375" style="26"/>
    <col min="10760" max="10760" width="10.6640625" style="26" customWidth="1"/>
    <col min="10761" max="11015" width="9.109375" style="26"/>
    <col min="11016" max="11016" width="10.6640625" style="26" customWidth="1"/>
    <col min="11017" max="11271" width="9.109375" style="26"/>
    <col min="11272" max="11272" width="10.6640625" style="26" customWidth="1"/>
    <col min="11273" max="11527" width="9.109375" style="26"/>
    <col min="11528" max="11528" width="10.6640625" style="26" customWidth="1"/>
    <col min="11529" max="11783" width="9.109375" style="26"/>
    <col min="11784" max="11784" width="10.6640625" style="26" customWidth="1"/>
    <col min="11785" max="12039" width="9.109375" style="26"/>
    <col min="12040" max="12040" width="10.6640625" style="26" customWidth="1"/>
    <col min="12041" max="12295" width="9.109375" style="26"/>
    <col min="12296" max="12296" width="10.6640625" style="26" customWidth="1"/>
    <col min="12297" max="12551" width="9.109375" style="26"/>
    <col min="12552" max="12552" width="10.6640625" style="26" customWidth="1"/>
    <col min="12553" max="12807" width="9.109375" style="26"/>
    <col min="12808" max="12808" width="10.6640625" style="26" customWidth="1"/>
    <col min="12809" max="13063" width="9.109375" style="26"/>
    <col min="13064" max="13064" width="10.6640625" style="26" customWidth="1"/>
    <col min="13065" max="13319" width="9.109375" style="26"/>
    <col min="13320" max="13320" width="10.6640625" style="26" customWidth="1"/>
    <col min="13321" max="13575" width="9.109375" style="26"/>
    <col min="13576" max="13576" width="10.6640625" style="26" customWidth="1"/>
    <col min="13577" max="13831" width="9.109375" style="26"/>
    <col min="13832" max="13832" width="10.6640625" style="26" customWidth="1"/>
    <col min="13833" max="14087" width="9.109375" style="26"/>
    <col min="14088" max="14088" width="10.6640625" style="26" customWidth="1"/>
    <col min="14089" max="14343" width="9.109375" style="26"/>
    <col min="14344" max="14344" width="10.6640625" style="26" customWidth="1"/>
    <col min="14345" max="14599" width="9.109375" style="26"/>
    <col min="14600" max="14600" width="10.6640625" style="26" customWidth="1"/>
    <col min="14601" max="14855" width="9.109375" style="26"/>
    <col min="14856" max="14856" width="10.6640625" style="26" customWidth="1"/>
    <col min="14857" max="15111" width="9.109375" style="26"/>
    <col min="15112" max="15112" width="10.6640625" style="26" customWidth="1"/>
    <col min="15113" max="15367" width="9.109375" style="26"/>
    <col min="15368" max="15368" width="10.6640625" style="26" customWidth="1"/>
    <col min="15369" max="15623" width="9.109375" style="26"/>
    <col min="15624" max="15624" width="10.6640625" style="26" customWidth="1"/>
    <col min="15625" max="15879" width="9.109375" style="26"/>
    <col min="15880" max="15880" width="10.6640625" style="26" customWidth="1"/>
    <col min="15881" max="16135" width="9.109375" style="26"/>
    <col min="16136" max="16136" width="10.6640625" style="26" customWidth="1"/>
    <col min="16137" max="16384" width="9.109375" style="26"/>
  </cols>
  <sheetData>
    <row r="1" spans="1:15" ht="13.8" thickBot="1" x14ac:dyDescent="0.3">
      <c r="A1" s="84" t="s">
        <v>278</v>
      </c>
      <c r="B1" s="275" t="s">
        <v>402</v>
      </c>
      <c r="C1" s="33">
        <f>Drives!BA18</f>
        <v>38490.017945975058</v>
      </c>
      <c r="D1" s="28" t="s">
        <v>7</v>
      </c>
      <c r="E1" s="300">
        <v>3</v>
      </c>
      <c r="F1" s="301">
        <f>MAX(0.1,E1+100/C1)</f>
        <v>3.0025980762113531</v>
      </c>
      <c r="G1" s="36" t="s">
        <v>1</v>
      </c>
      <c r="H1" s="29">
        <f>IF(J1=0,0,H4/J1)</f>
        <v>0</v>
      </c>
      <c r="I1" s="26" t="s">
        <v>13</v>
      </c>
      <c r="J1" s="34">
        <f>Drives!Z18</f>
        <v>0</v>
      </c>
      <c r="K1" s="26" t="s">
        <v>84</v>
      </c>
      <c r="N1" s="254">
        <v>0.98</v>
      </c>
      <c r="O1" s="26" t="s">
        <v>176</v>
      </c>
    </row>
    <row r="2" spans="1:15" x14ac:dyDescent="0.25">
      <c r="A2" s="269" t="s">
        <v>88</v>
      </c>
      <c r="B2" s="276">
        <v>18</v>
      </c>
      <c r="D2" s="26">
        <f>C4+1</f>
        <v>5</v>
      </c>
      <c r="E2" s="41">
        <f>F1-C3</f>
        <v>2.5980762113531064E-3</v>
      </c>
      <c r="F2" s="36"/>
      <c r="G2" s="36"/>
      <c r="J2" s="29">
        <f>IF(J1&gt;=0.2,(0.48+(J1-0.2)*0.65),(J1*2.4))</f>
        <v>0</v>
      </c>
      <c r="K2" s="26" t="s">
        <v>60</v>
      </c>
    </row>
    <row r="3" spans="1:15" ht="13.8" thickBot="1" x14ac:dyDescent="0.3">
      <c r="A3" s="270" t="s">
        <v>365</v>
      </c>
      <c r="C3" s="41">
        <f>HLOOKUP($F$1,$D$62:$U$113,(B3+1))</f>
        <v>3</v>
      </c>
      <c r="D3" s="41">
        <f>HLOOKUP($D$2,$D$61:$U$113,(B3+2))</f>
        <v>4</v>
      </c>
      <c r="E3" s="26">
        <f>D3-C3</f>
        <v>1</v>
      </c>
      <c r="F3" s="26">
        <f>IF(E3=0,1,E2/E3)</f>
        <v>2.5980762113531064E-3</v>
      </c>
      <c r="G3" s="32">
        <f>C3+(E3*F3)</f>
        <v>3.0025980762113531</v>
      </c>
    </row>
    <row r="4" spans="1:15" ht="13.8" thickBot="1" x14ac:dyDescent="0.3">
      <c r="A4" s="31" t="s">
        <v>90</v>
      </c>
      <c r="B4" s="26">
        <v>1</v>
      </c>
      <c r="C4" s="302">
        <f t="shared" ref="C4:C53" si="0">HLOOKUP($F$1,$D$62:$U$113,(B4+1))</f>
        <v>4</v>
      </c>
      <c r="D4" s="302">
        <f t="shared" ref="D4:D53" si="1">HLOOKUP($D$2,$D$61:$U$113,(B4+2))</f>
        <v>5</v>
      </c>
      <c r="G4" s="27">
        <v>100</v>
      </c>
      <c r="H4" s="34">
        <f>Drives!AR18</f>
        <v>0</v>
      </c>
      <c r="I4" s="26" t="s">
        <v>53</v>
      </c>
    </row>
    <row r="5" spans="1:15" x14ac:dyDescent="0.25">
      <c r="A5" s="31"/>
      <c r="B5" s="26">
        <v>2</v>
      </c>
      <c r="C5" s="52">
        <f t="shared" si="0"/>
        <v>3.2432337711389723E-2</v>
      </c>
      <c r="D5" s="52">
        <f t="shared" si="1"/>
        <v>2.6794917304969575E-2</v>
      </c>
      <c r="E5" s="48">
        <f t="shared" ref="E5:E53" si="2">D5-C5</f>
        <v>-5.6374204064201482E-3</v>
      </c>
      <c r="F5" s="48">
        <f t="shared" ref="F5:F53" si="3">E5*$F$3</f>
        <v>-1.4646447851316748E-5</v>
      </c>
      <c r="G5" s="48">
        <f t="shared" ref="G5:G53" si="4">C5+F5</f>
        <v>3.2417691263538405E-2</v>
      </c>
      <c r="H5" s="30">
        <f t="shared" ref="H5:H53" si="5">J$2*G5*$H$1/100</f>
        <v>0</v>
      </c>
    </row>
    <row r="6" spans="1:15" x14ac:dyDescent="0.25">
      <c r="A6" s="43" t="s">
        <v>93</v>
      </c>
      <c r="B6" s="26">
        <v>3</v>
      </c>
      <c r="C6" s="52">
        <f t="shared" si="0"/>
        <v>5.107248510230364</v>
      </c>
      <c r="D6" s="52">
        <f t="shared" si="1"/>
        <v>6.2072885442798249</v>
      </c>
      <c r="E6" s="48">
        <f t="shared" si="2"/>
        <v>1.1000400340494609</v>
      </c>
      <c r="F6" s="48">
        <f t="shared" si="3"/>
        <v>2.8579878439999656E-3</v>
      </c>
      <c r="G6" s="48">
        <f t="shared" si="4"/>
        <v>5.110106498074364</v>
      </c>
      <c r="H6" s="30">
        <f t="shared" si="5"/>
        <v>0</v>
      </c>
    </row>
    <row r="7" spans="1:15" x14ac:dyDescent="0.25">
      <c r="A7" s="43" t="s">
        <v>92</v>
      </c>
      <c r="B7" s="26">
        <v>4</v>
      </c>
      <c r="C7" s="52">
        <f t="shared" si="0"/>
        <v>2.9673650735424224E-2</v>
      </c>
      <c r="D7" s="52">
        <f t="shared" si="1"/>
        <v>2.1212221057019379E-2</v>
      </c>
      <c r="E7" s="48">
        <f t="shared" si="2"/>
        <v>-8.4614296784048457E-3</v>
      </c>
      <c r="F7" s="48">
        <f t="shared" si="3"/>
        <v>-2.1983439161500794E-5</v>
      </c>
      <c r="G7" s="48">
        <f t="shared" si="4"/>
        <v>2.9651667296262722E-2</v>
      </c>
      <c r="H7" s="30">
        <f t="shared" si="5"/>
        <v>0</v>
      </c>
    </row>
    <row r="8" spans="1:15" x14ac:dyDescent="0.25">
      <c r="B8" s="26">
        <v>5</v>
      </c>
      <c r="C8" s="52">
        <f t="shared" si="0"/>
        <v>49.382828970020235</v>
      </c>
      <c r="D8" s="52">
        <f t="shared" si="1"/>
        <v>41.72752692184784</v>
      </c>
      <c r="E8" s="48">
        <f t="shared" si="2"/>
        <v>-7.6553020481723948</v>
      </c>
      <c r="F8" s="48">
        <f t="shared" si="3"/>
        <v>-1.9889058142079412E-2</v>
      </c>
      <c r="G8" s="48">
        <f t="shared" si="4"/>
        <v>49.362939911878158</v>
      </c>
      <c r="H8" s="30">
        <f t="shared" si="5"/>
        <v>0</v>
      </c>
    </row>
    <row r="9" spans="1:15" x14ac:dyDescent="0.25">
      <c r="B9" s="26">
        <v>6</v>
      </c>
      <c r="C9" s="52">
        <f t="shared" si="0"/>
        <v>1.9222702695116914E-3</v>
      </c>
      <c r="D9" s="52">
        <f t="shared" si="1"/>
        <v>1.1087146410300954E-2</v>
      </c>
      <c r="E9" s="48">
        <f t="shared" si="2"/>
        <v>9.1648761407892628E-3</v>
      </c>
      <c r="F9" s="48">
        <f t="shared" si="3"/>
        <v>2.3811046681382246E-5</v>
      </c>
      <c r="G9" s="48">
        <f t="shared" si="4"/>
        <v>1.9460813161930736E-3</v>
      </c>
      <c r="H9" s="30">
        <f t="shared" si="5"/>
        <v>0</v>
      </c>
    </row>
    <row r="10" spans="1:15" x14ac:dyDescent="0.25">
      <c r="B10" s="26">
        <v>7</v>
      </c>
      <c r="C10" s="52">
        <f t="shared" si="0"/>
        <v>20.70483242585701</v>
      </c>
      <c r="D10" s="52">
        <f t="shared" si="1"/>
        <v>13.8859457017344</v>
      </c>
      <c r="E10" s="48">
        <f t="shared" si="2"/>
        <v>-6.8188867241226099</v>
      </c>
      <c r="F10" s="48">
        <f t="shared" si="3"/>
        <v>-1.7715987385854465E-2</v>
      </c>
      <c r="G10" s="48">
        <f t="shared" si="4"/>
        <v>20.687116438471154</v>
      </c>
      <c r="H10" s="30">
        <f t="shared" si="5"/>
        <v>0</v>
      </c>
    </row>
    <row r="11" spans="1:15" x14ac:dyDescent="0.25">
      <c r="B11" s="26">
        <v>8</v>
      </c>
      <c r="C11" s="52">
        <f t="shared" si="0"/>
        <v>2.3564987660073828E-2</v>
      </c>
      <c r="D11" s="52">
        <f t="shared" si="1"/>
        <v>8.5355102461392024E-3</v>
      </c>
      <c r="E11" s="48">
        <f t="shared" si="2"/>
        <v>-1.5029477413934626E-2</v>
      </c>
      <c r="F11" s="48">
        <f t="shared" si="3"/>
        <v>-3.9047727738212357E-5</v>
      </c>
      <c r="G11" s="48">
        <f t="shared" si="4"/>
        <v>2.3525939932335614E-2</v>
      </c>
      <c r="H11" s="30">
        <f t="shared" si="5"/>
        <v>0</v>
      </c>
    </row>
    <row r="12" spans="1:15" x14ac:dyDescent="0.25">
      <c r="B12" s="26">
        <v>9</v>
      </c>
      <c r="C12" s="52">
        <f t="shared" si="0"/>
        <v>0.42447764331950832</v>
      </c>
      <c r="D12" s="52">
        <f t="shared" si="1"/>
        <v>1.0648962156533353</v>
      </c>
      <c r="E12" s="48">
        <f t="shared" si="2"/>
        <v>0.64041857233382693</v>
      </c>
      <c r="F12" s="48">
        <f t="shared" si="3"/>
        <v>1.6638562580892345E-3</v>
      </c>
      <c r="G12" s="48">
        <f t="shared" si="4"/>
        <v>0.42614149957759756</v>
      </c>
      <c r="H12" s="30">
        <f t="shared" si="5"/>
        <v>0</v>
      </c>
    </row>
    <row r="13" spans="1:15" x14ac:dyDescent="0.25">
      <c r="B13" s="26">
        <v>10</v>
      </c>
      <c r="C13" s="52">
        <f t="shared" si="0"/>
        <v>9.7072760067846587E-3</v>
      </c>
      <c r="D13" s="52">
        <f t="shared" si="1"/>
        <v>1.3760275349404955E-2</v>
      </c>
      <c r="E13" s="48">
        <f t="shared" si="2"/>
        <v>4.0529993426202966E-3</v>
      </c>
      <c r="F13" s="48">
        <f t="shared" si="3"/>
        <v>1.0530001176691571E-5</v>
      </c>
      <c r="G13" s="48">
        <f t="shared" si="4"/>
        <v>9.717806007961351E-3</v>
      </c>
      <c r="H13" s="30">
        <f t="shared" si="5"/>
        <v>0</v>
      </c>
    </row>
    <row r="14" spans="1:15" x14ac:dyDescent="0.25">
      <c r="B14" s="26">
        <v>11</v>
      </c>
      <c r="C14" s="52">
        <f t="shared" si="0"/>
        <v>7.6797975872700235</v>
      </c>
      <c r="D14" s="52">
        <f t="shared" si="1"/>
        <v>7.4570840283088478</v>
      </c>
      <c r="E14" s="48">
        <f t="shared" si="2"/>
        <v>-0.22271355896117573</v>
      </c>
      <c r="F14" s="48">
        <f t="shared" si="3"/>
        <v>-5.7862679948281811E-4</v>
      </c>
      <c r="G14" s="48">
        <f t="shared" si="4"/>
        <v>7.679218960470541</v>
      </c>
      <c r="H14" s="30">
        <f t="shared" si="5"/>
        <v>0</v>
      </c>
    </row>
    <row r="15" spans="1:15" x14ac:dyDescent="0.25">
      <c r="B15" s="26">
        <v>12</v>
      </c>
      <c r="C15" s="52">
        <f t="shared" si="0"/>
        <v>1.7455825337836627E-3</v>
      </c>
      <c r="D15" s="52">
        <f t="shared" si="1"/>
        <v>6.1922252654432195E-3</v>
      </c>
      <c r="E15" s="48">
        <f t="shared" si="2"/>
        <v>4.4466427316595565E-3</v>
      </c>
      <c r="F15" s="48">
        <f t="shared" si="3"/>
        <v>1.1552716701510889E-5</v>
      </c>
      <c r="G15" s="48">
        <f t="shared" si="4"/>
        <v>1.7571352504851736E-3</v>
      </c>
      <c r="H15" s="30">
        <f t="shared" si="5"/>
        <v>0</v>
      </c>
    </row>
    <row r="16" spans="1:15" x14ac:dyDescent="0.25">
      <c r="B16" s="26">
        <v>13</v>
      </c>
      <c r="C16" s="52">
        <f t="shared" si="0"/>
        <v>4.053836065316168</v>
      </c>
      <c r="D16" s="52">
        <f t="shared" si="1"/>
        <v>3.136813925533426</v>
      </c>
      <c r="E16" s="48">
        <f t="shared" si="2"/>
        <v>-0.91702213978274205</v>
      </c>
      <c r="F16" s="48">
        <f t="shared" si="3"/>
        <v>-2.382493406653665E-3</v>
      </c>
      <c r="G16" s="48">
        <f t="shared" si="4"/>
        <v>4.0514535719095139</v>
      </c>
      <c r="H16" s="30">
        <f t="shared" si="5"/>
        <v>0</v>
      </c>
    </row>
    <row r="17" spans="2:8" x14ac:dyDescent="0.25">
      <c r="B17" s="26">
        <v>14</v>
      </c>
      <c r="C17" s="52">
        <f t="shared" si="0"/>
        <v>1.5808693433503308E-2</v>
      </c>
      <c r="D17" s="52">
        <f t="shared" si="1"/>
        <v>1.1300571663228018E-2</v>
      </c>
      <c r="E17" s="48">
        <f t="shared" si="2"/>
        <v>-4.5081217702752901E-3</v>
      </c>
      <c r="F17" s="48">
        <f t="shared" si="3"/>
        <v>-1.1712443929235285E-5</v>
      </c>
      <c r="G17" s="48">
        <f t="shared" si="4"/>
        <v>1.5796980989574074E-2</v>
      </c>
      <c r="H17" s="30">
        <f t="shared" si="5"/>
        <v>0</v>
      </c>
    </row>
    <row r="18" spans="2:8" x14ac:dyDescent="0.25">
      <c r="B18" s="26">
        <v>15</v>
      </c>
      <c r="C18" s="52">
        <f t="shared" si="0"/>
        <v>0.19877874639876153</v>
      </c>
      <c r="D18" s="52">
        <f t="shared" si="1"/>
        <v>0.6117370588990978</v>
      </c>
      <c r="E18" s="48">
        <f t="shared" si="2"/>
        <v>0.41295831250033627</v>
      </c>
      <c r="F18" s="48">
        <f t="shared" si="3"/>
        <v>1.0728971679876459E-3</v>
      </c>
      <c r="G18" s="48">
        <f t="shared" si="4"/>
        <v>0.19985164356674917</v>
      </c>
      <c r="H18" s="30">
        <f t="shared" si="5"/>
        <v>0</v>
      </c>
    </row>
    <row r="19" spans="2:8" x14ac:dyDescent="0.25">
      <c r="B19" s="26">
        <v>16</v>
      </c>
      <c r="C19" s="52">
        <f t="shared" si="0"/>
        <v>8.8894084206710914E-3</v>
      </c>
      <c r="D19" s="52">
        <f t="shared" si="1"/>
        <v>9.8004503653837914E-3</v>
      </c>
      <c r="E19" s="48">
        <f t="shared" si="2"/>
        <v>9.1104194471270002E-4</v>
      </c>
      <c r="F19" s="48">
        <f t="shared" si="3"/>
        <v>2.366956404102938E-6</v>
      </c>
      <c r="G19" s="48">
        <f t="shared" si="4"/>
        <v>8.8917753770751951E-3</v>
      </c>
      <c r="H19" s="30">
        <f t="shared" si="5"/>
        <v>0</v>
      </c>
    </row>
    <row r="20" spans="2:8" x14ac:dyDescent="0.25">
      <c r="B20" s="26">
        <v>17</v>
      </c>
      <c r="C20" s="52">
        <f t="shared" si="0"/>
        <v>3.9361368606820331</v>
      </c>
      <c r="D20" s="52">
        <f t="shared" si="1"/>
        <v>3.5365888642625669</v>
      </c>
      <c r="E20" s="48">
        <f t="shared" si="2"/>
        <v>-0.39954799641946614</v>
      </c>
      <c r="F20" s="48">
        <f t="shared" si="3"/>
        <v>-1.0380561447912112E-3</v>
      </c>
      <c r="G20" s="48">
        <f t="shared" si="4"/>
        <v>3.9350988045372417</v>
      </c>
      <c r="H20" s="30">
        <f t="shared" si="5"/>
        <v>0</v>
      </c>
    </row>
    <row r="21" spans="2:8" x14ac:dyDescent="0.25">
      <c r="B21" s="26">
        <v>18</v>
      </c>
      <c r="C21" s="52">
        <f t="shared" si="0"/>
        <v>2.5800652861531514E-3</v>
      </c>
      <c r="D21" s="52">
        <f t="shared" si="1"/>
        <v>5.1323452366736095E-3</v>
      </c>
      <c r="E21" s="48">
        <f t="shared" si="2"/>
        <v>2.5522799505204581E-3</v>
      </c>
      <c r="F21" s="48">
        <f t="shared" si="3"/>
        <v>6.6310178241606855E-6</v>
      </c>
      <c r="G21" s="48">
        <f t="shared" si="4"/>
        <v>2.5866963039773119E-3</v>
      </c>
      <c r="H21" s="30">
        <f t="shared" si="5"/>
        <v>0</v>
      </c>
    </row>
    <row r="22" spans="2:8" x14ac:dyDescent="0.25">
      <c r="B22" s="26">
        <v>19</v>
      </c>
      <c r="C22" s="52">
        <f t="shared" si="0"/>
        <v>1.5612033953483941</v>
      </c>
      <c r="D22" s="52">
        <f t="shared" si="1"/>
        <v>1.435344927819425</v>
      </c>
      <c r="E22" s="48">
        <f t="shared" si="2"/>
        <v>-0.12585846752896912</v>
      </c>
      <c r="F22" s="48">
        <f t="shared" si="3"/>
        <v>-3.2698989048437208E-4</v>
      </c>
      <c r="G22" s="48">
        <f t="shared" si="4"/>
        <v>1.5608764054579098</v>
      </c>
      <c r="H22" s="30">
        <f t="shared" si="5"/>
        <v>0</v>
      </c>
    </row>
    <row r="23" spans="2:8" x14ac:dyDescent="0.25">
      <c r="B23" s="26">
        <v>20</v>
      </c>
      <c r="C23" s="52">
        <f t="shared" si="0"/>
        <v>1.3820648138552563E-2</v>
      </c>
      <c r="D23" s="52">
        <f t="shared" si="1"/>
        <v>1.2553645285502412E-2</v>
      </c>
      <c r="E23" s="48">
        <f t="shared" si="2"/>
        <v>-1.2670028530501511E-3</v>
      </c>
      <c r="F23" s="48">
        <f t="shared" si="3"/>
        <v>-3.2917699722261132E-6</v>
      </c>
      <c r="G23" s="48">
        <f t="shared" si="4"/>
        <v>1.3817356368580338E-2</v>
      </c>
      <c r="H23" s="30">
        <f t="shared" si="5"/>
        <v>0</v>
      </c>
    </row>
    <row r="24" spans="2:8" x14ac:dyDescent="0.25">
      <c r="B24" s="26">
        <v>21</v>
      </c>
      <c r="C24" s="52">
        <f t="shared" si="0"/>
        <v>0.12695962714013889</v>
      </c>
      <c r="D24" s="52">
        <f t="shared" si="1"/>
        <v>0.43156831387325317</v>
      </c>
      <c r="E24" s="48">
        <f t="shared" si="2"/>
        <v>0.30460868673311425</v>
      </c>
      <c r="F24" s="48">
        <f t="shared" si="3"/>
        <v>7.9139658277281469E-4</v>
      </c>
      <c r="G24" s="48">
        <f t="shared" si="4"/>
        <v>0.12775102372291169</v>
      </c>
      <c r="H24" s="30">
        <f t="shared" si="5"/>
        <v>0</v>
      </c>
    </row>
    <row r="25" spans="2:8" x14ac:dyDescent="0.25">
      <c r="B25" s="26">
        <v>22</v>
      </c>
      <c r="C25" s="52">
        <f t="shared" si="0"/>
        <v>8.0433131135157904E-3</v>
      </c>
      <c r="D25" s="52">
        <f t="shared" si="1"/>
        <v>9.1411482785596215E-3</v>
      </c>
      <c r="E25" s="48">
        <f t="shared" si="2"/>
        <v>1.0978351650438312E-3</v>
      </c>
      <c r="F25" s="48">
        <f t="shared" si="3"/>
        <v>2.8522594262872892E-6</v>
      </c>
      <c r="G25" s="48">
        <f t="shared" si="4"/>
        <v>8.0461653729420775E-3</v>
      </c>
      <c r="H25" s="30">
        <f t="shared" si="5"/>
        <v>0</v>
      </c>
    </row>
    <row r="26" spans="2:8" x14ac:dyDescent="0.25">
      <c r="B26" s="26">
        <v>23</v>
      </c>
      <c r="C26" s="52">
        <f t="shared" si="0"/>
        <v>2.2928087910650583</v>
      </c>
      <c r="D26" s="52">
        <f t="shared" si="1"/>
        <v>1.9472020944612196</v>
      </c>
      <c r="E26" s="48">
        <f t="shared" si="2"/>
        <v>-0.34560669660383869</v>
      </c>
      <c r="F26" s="48">
        <f t="shared" si="3"/>
        <v>-8.9791253693076369E-4</v>
      </c>
      <c r="G26" s="48">
        <f t="shared" si="4"/>
        <v>2.2919108785281277</v>
      </c>
      <c r="H26" s="30">
        <f t="shared" si="5"/>
        <v>0</v>
      </c>
    </row>
    <row r="27" spans="2:8" x14ac:dyDescent="0.25">
      <c r="B27" s="26">
        <v>24</v>
      </c>
      <c r="C27" s="52">
        <f t="shared" si="0"/>
        <v>3.0035667733548503E-3</v>
      </c>
      <c r="D27" s="52">
        <f t="shared" si="1"/>
        <v>5.3235417328994826E-3</v>
      </c>
      <c r="E27" s="48">
        <f t="shared" si="2"/>
        <v>2.3199749595446324E-3</v>
      </c>
      <c r="F27" s="48">
        <f t="shared" si="3"/>
        <v>6.0274717533277948E-6</v>
      </c>
      <c r="G27" s="48">
        <f t="shared" si="4"/>
        <v>3.0095942451081781E-3</v>
      </c>
      <c r="H27" s="30">
        <f t="shared" si="5"/>
        <v>0</v>
      </c>
    </row>
    <row r="28" spans="2:8" x14ac:dyDescent="0.25">
      <c r="B28" s="26">
        <v>25</v>
      </c>
      <c r="C28" s="52">
        <f t="shared" si="0"/>
        <v>0.9812541545579192</v>
      </c>
      <c r="D28" s="52">
        <f t="shared" si="1"/>
        <v>0.87516515937476913</v>
      </c>
      <c r="E28" s="48">
        <f t="shared" si="2"/>
        <v>-0.10608899518315007</v>
      </c>
      <c r="F28" s="48">
        <f t="shared" si="3"/>
        <v>-2.7562729467169646E-4</v>
      </c>
      <c r="G28" s="48">
        <f t="shared" si="4"/>
        <v>0.98097852726324752</v>
      </c>
      <c r="H28" s="30">
        <f t="shared" si="5"/>
        <v>0</v>
      </c>
    </row>
    <row r="29" spans="2:8" x14ac:dyDescent="0.25">
      <c r="B29" s="26">
        <v>26</v>
      </c>
      <c r="C29" s="52">
        <f t="shared" si="0"/>
        <v>1.4413765296386657E-2</v>
      </c>
      <c r="D29" s="52">
        <f t="shared" si="1"/>
        <v>1.340051166752103E-2</v>
      </c>
      <c r="E29" s="48">
        <f t="shared" si="2"/>
        <v>-1.0132536288656267E-3</v>
      </c>
      <c r="F29" s="48">
        <f t="shared" si="3"/>
        <v>-2.6325101492229938E-6</v>
      </c>
      <c r="G29" s="48">
        <f t="shared" si="4"/>
        <v>1.4411132786237435E-2</v>
      </c>
      <c r="H29" s="30">
        <f t="shared" si="5"/>
        <v>0</v>
      </c>
    </row>
    <row r="30" spans="2:8" x14ac:dyDescent="0.25">
      <c r="B30" s="26">
        <v>27</v>
      </c>
      <c r="C30" s="52">
        <f t="shared" si="0"/>
        <v>9.1193806224074303E-2</v>
      </c>
      <c r="D30" s="52">
        <f t="shared" si="1"/>
        <v>0.33088372878460953</v>
      </c>
      <c r="E30" s="48">
        <f t="shared" si="2"/>
        <v>0.23968992256053523</v>
      </c>
      <c r="F30" s="48">
        <f t="shared" si="3"/>
        <v>6.2273268590559488E-4</v>
      </c>
      <c r="G30" s="48">
        <f t="shared" si="4"/>
        <v>9.18165389099799E-2</v>
      </c>
      <c r="H30" s="30">
        <f t="shared" si="5"/>
        <v>0</v>
      </c>
    </row>
    <row r="31" spans="2:8" x14ac:dyDescent="0.25">
      <c r="B31" s="26">
        <v>28</v>
      </c>
      <c r="C31" s="52">
        <f t="shared" si="0"/>
        <v>6.9611130983163278E-3</v>
      </c>
      <c r="D31" s="52">
        <f t="shared" si="1"/>
        <v>8.5362681900183323E-3</v>
      </c>
      <c r="E31" s="48">
        <f t="shared" si="2"/>
        <v>1.5751550917020045E-3</v>
      </c>
      <c r="F31" s="48">
        <f t="shared" si="3"/>
        <v>4.0923729729426983E-6</v>
      </c>
      <c r="G31" s="48">
        <f t="shared" si="4"/>
        <v>6.9652054712892701E-3</v>
      </c>
      <c r="H31" s="30">
        <f t="shared" si="5"/>
        <v>0</v>
      </c>
    </row>
    <row r="32" spans="2:8" x14ac:dyDescent="0.25">
      <c r="B32" s="26">
        <v>29</v>
      </c>
      <c r="C32" s="52">
        <f t="shared" si="0"/>
        <v>1.3999934630363924</v>
      </c>
      <c r="D32" s="52">
        <f t="shared" si="1"/>
        <v>1.0907850218496227</v>
      </c>
      <c r="E32" s="48">
        <f t="shared" si="2"/>
        <v>-0.30920844118676971</v>
      </c>
      <c r="F32" s="48">
        <f t="shared" si="3"/>
        <v>-8.033470953969225E-4</v>
      </c>
      <c r="G32" s="48">
        <f t="shared" si="4"/>
        <v>1.3991901159409954</v>
      </c>
      <c r="H32" s="30">
        <f t="shared" si="5"/>
        <v>0</v>
      </c>
    </row>
    <row r="33" spans="2:8" x14ac:dyDescent="0.25">
      <c r="B33" s="26">
        <v>30</v>
      </c>
      <c r="C33" s="52">
        <f t="shared" si="0"/>
        <v>3.2920300374340902E-3</v>
      </c>
      <c r="D33" s="52">
        <f t="shared" si="1"/>
        <v>5.0314868423076246E-3</v>
      </c>
      <c r="E33" s="48">
        <f t="shared" si="2"/>
        <v>1.7394568048735345E-3</v>
      </c>
      <c r="F33" s="48">
        <f t="shared" si="3"/>
        <v>4.5192413454182117E-6</v>
      </c>
      <c r="G33" s="48">
        <f t="shared" si="4"/>
        <v>3.2965492787795083E-3</v>
      </c>
      <c r="H33" s="30">
        <f t="shared" si="5"/>
        <v>0</v>
      </c>
    </row>
    <row r="34" spans="2:8" x14ac:dyDescent="0.25">
      <c r="B34" s="26">
        <v>31</v>
      </c>
      <c r="C34" s="52">
        <f t="shared" si="0"/>
        <v>0.68512353629472578</v>
      </c>
      <c r="D34" s="52">
        <f t="shared" si="1"/>
        <v>0.58112005814292844</v>
      </c>
      <c r="E34" s="48">
        <f t="shared" si="2"/>
        <v>-0.10400347815179734</v>
      </c>
      <c r="F34" s="48">
        <f t="shared" si="3"/>
        <v>-2.7020896248416721E-4</v>
      </c>
      <c r="G34" s="48">
        <f t="shared" si="4"/>
        <v>0.68485332733224158</v>
      </c>
      <c r="H34" s="30">
        <f t="shared" si="5"/>
        <v>0</v>
      </c>
    </row>
    <row r="35" spans="2:8" x14ac:dyDescent="0.25">
      <c r="B35" s="26">
        <v>32</v>
      </c>
      <c r="C35" s="52">
        <f t="shared" si="0"/>
        <v>1.4563606306652922E-2</v>
      </c>
      <c r="D35" s="52">
        <f t="shared" si="1"/>
        <v>1.305927336868163E-2</v>
      </c>
      <c r="E35" s="48">
        <f t="shared" si="2"/>
        <v>-1.5043329379712915E-3</v>
      </c>
      <c r="F35" s="48">
        <f t="shared" si="3"/>
        <v>-3.9083716200981403E-6</v>
      </c>
      <c r="G35" s="48">
        <f t="shared" si="4"/>
        <v>1.4559697935032824E-2</v>
      </c>
      <c r="H35" s="30">
        <f t="shared" si="5"/>
        <v>0</v>
      </c>
    </row>
    <row r="36" spans="2:8" x14ac:dyDescent="0.25">
      <c r="B36" s="26">
        <v>33</v>
      </c>
      <c r="C36" s="52">
        <f t="shared" si="0"/>
        <v>7.0763148414675126E-2</v>
      </c>
      <c r="D36" s="52">
        <f t="shared" si="1"/>
        <v>0.26563628264177047</v>
      </c>
      <c r="E36" s="48">
        <f t="shared" si="2"/>
        <v>0.19487313422709535</v>
      </c>
      <c r="F36" s="48">
        <f t="shared" si="3"/>
        <v>5.0629525426723729E-4</v>
      </c>
      <c r="G36" s="48">
        <f t="shared" si="4"/>
        <v>7.1269443668942362E-2</v>
      </c>
      <c r="H36" s="30">
        <f t="shared" si="5"/>
        <v>0</v>
      </c>
    </row>
    <row r="37" spans="2:8" x14ac:dyDescent="0.25">
      <c r="B37" s="26">
        <v>34</v>
      </c>
      <c r="C37" s="52">
        <f t="shared" si="0"/>
        <v>5.6069430808107633E-2</v>
      </c>
      <c r="D37" s="52">
        <f t="shared" si="1"/>
        <v>0.18457651004529252</v>
      </c>
      <c r="E37" s="48">
        <f t="shared" si="2"/>
        <v>0.12850707923718488</v>
      </c>
      <c r="F37" s="48">
        <f t="shared" si="3"/>
        <v>3.3387118555659875E-4</v>
      </c>
      <c r="G37" s="48">
        <f t="shared" si="4"/>
        <v>5.640330199366423E-2</v>
      </c>
      <c r="H37" s="30">
        <f t="shared" si="5"/>
        <v>0</v>
      </c>
    </row>
    <row r="38" spans="2:8" x14ac:dyDescent="0.25">
      <c r="B38" s="26">
        <v>35</v>
      </c>
      <c r="C38" s="52">
        <f t="shared" si="0"/>
        <v>0.95078684693100002</v>
      </c>
      <c r="D38" s="52">
        <f t="shared" si="1"/>
        <v>0.68755518357204037</v>
      </c>
      <c r="E38" s="48">
        <f t="shared" si="2"/>
        <v>-0.26323166335895964</v>
      </c>
      <c r="F38" s="48">
        <f t="shared" si="3"/>
        <v>-6.838959226478222E-4</v>
      </c>
      <c r="G38" s="48">
        <f t="shared" si="4"/>
        <v>0.95010295100835218</v>
      </c>
      <c r="H38" s="30">
        <f t="shared" si="5"/>
        <v>0</v>
      </c>
    </row>
    <row r="39" spans="2:8" x14ac:dyDescent="0.25">
      <c r="B39" s="26">
        <v>36</v>
      </c>
      <c r="C39" s="52">
        <f t="shared" si="0"/>
        <v>5.6069430808107633E-2</v>
      </c>
      <c r="D39" s="52">
        <f t="shared" si="1"/>
        <v>0.18457651004529252</v>
      </c>
      <c r="E39" s="48">
        <f t="shared" si="2"/>
        <v>0.12850707923718488</v>
      </c>
      <c r="F39" s="48">
        <f t="shared" si="3"/>
        <v>3.3387118555659875E-4</v>
      </c>
      <c r="G39" s="48">
        <f t="shared" si="4"/>
        <v>5.640330199366423E-2</v>
      </c>
      <c r="H39" s="30">
        <f t="shared" si="5"/>
        <v>0</v>
      </c>
    </row>
    <row r="40" spans="2:8" x14ac:dyDescent="0.25">
      <c r="B40" s="26">
        <v>37</v>
      </c>
      <c r="C40" s="52">
        <f t="shared" si="0"/>
        <v>0.44571284137714501</v>
      </c>
      <c r="D40" s="52">
        <f t="shared" si="1"/>
        <v>0.35071388358174704</v>
      </c>
      <c r="E40" s="48">
        <f t="shared" si="2"/>
        <v>-9.4998957795397965E-2</v>
      </c>
      <c r="F40" s="48">
        <f t="shared" si="3"/>
        <v>-2.468145323515612E-4</v>
      </c>
      <c r="G40" s="48">
        <f t="shared" si="4"/>
        <v>0.44546602684479347</v>
      </c>
      <c r="H40" s="30">
        <f t="shared" si="5"/>
        <v>0</v>
      </c>
    </row>
    <row r="41" spans="2:8" x14ac:dyDescent="0.25">
      <c r="B41" s="26">
        <v>38</v>
      </c>
      <c r="C41" s="52">
        <f t="shared" si="0"/>
        <v>5.6069430808107633E-2</v>
      </c>
      <c r="D41" s="52">
        <f t="shared" si="1"/>
        <v>0.18457651004529252</v>
      </c>
      <c r="E41" s="48">
        <f t="shared" si="2"/>
        <v>0.12850707923718488</v>
      </c>
      <c r="F41" s="48">
        <f t="shared" si="3"/>
        <v>3.3387118555659875E-4</v>
      </c>
      <c r="G41" s="48">
        <f t="shared" si="4"/>
        <v>5.640330199366423E-2</v>
      </c>
      <c r="H41" s="30">
        <f t="shared" si="5"/>
        <v>0</v>
      </c>
    </row>
    <row r="42" spans="2:8" x14ac:dyDescent="0.25">
      <c r="B42" s="26">
        <v>39</v>
      </c>
      <c r="C42" s="52">
        <f t="shared" si="0"/>
        <v>6.014929527512837E-2</v>
      </c>
      <c r="D42" s="52">
        <f t="shared" si="1"/>
        <v>0.21949671273146126</v>
      </c>
      <c r="E42" s="48">
        <f t="shared" si="2"/>
        <v>0.15934741745633291</v>
      </c>
      <c r="F42" s="48">
        <f t="shared" si="3"/>
        <v>4.1399673463385123E-4</v>
      </c>
      <c r="G42" s="48">
        <f t="shared" si="4"/>
        <v>6.0563292009762223E-2</v>
      </c>
      <c r="H42" s="30">
        <f t="shared" si="5"/>
        <v>0</v>
      </c>
    </row>
    <row r="43" spans="2:8" x14ac:dyDescent="0.25">
      <c r="B43" s="26">
        <v>40</v>
      </c>
      <c r="C43" s="52">
        <f t="shared" si="0"/>
        <v>5.6069430808107633E-2</v>
      </c>
      <c r="D43" s="52">
        <f t="shared" si="1"/>
        <v>0.18457651004529252</v>
      </c>
      <c r="E43" s="48">
        <f t="shared" si="2"/>
        <v>0.12850707923718488</v>
      </c>
      <c r="F43" s="48">
        <f t="shared" si="3"/>
        <v>3.3387118555659875E-4</v>
      </c>
      <c r="G43" s="48">
        <f t="shared" si="4"/>
        <v>5.640330199366423E-2</v>
      </c>
      <c r="H43" s="30">
        <f t="shared" si="5"/>
        <v>0</v>
      </c>
    </row>
    <row r="44" spans="2:8" x14ac:dyDescent="0.25">
      <c r="B44" s="26">
        <v>41</v>
      </c>
      <c r="C44" s="52">
        <f t="shared" si="0"/>
        <v>0.64986432358583057</v>
      </c>
      <c r="D44" s="52">
        <f t="shared" si="1"/>
        <v>0.49479101470748305</v>
      </c>
      <c r="E44" s="48">
        <f t="shared" si="2"/>
        <v>-0.15507330887834753</v>
      </c>
      <c r="F44" s="48">
        <f t="shared" si="3"/>
        <v>-4.0289227481264716E-4</v>
      </c>
      <c r="G44" s="48">
        <f t="shared" si="4"/>
        <v>0.64946143131101797</v>
      </c>
      <c r="H44" s="30">
        <f t="shared" si="5"/>
        <v>0</v>
      </c>
    </row>
    <row r="45" spans="2:8" x14ac:dyDescent="0.25">
      <c r="B45" s="26">
        <v>42</v>
      </c>
      <c r="C45" s="52">
        <f t="shared" si="0"/>
        <v>5.6069430808107633E-2</v>
      </c>
      <c r="D45" s="52">
        <f t="shared" si="1"/>
        <v>0.18457651004529252</v>
      </c>
      <c r="E45" s="48">
        <f t="shared" si="2"/>
        <v>0.12850707923718488</v>
      </c>
      <c r="F45" s="48">
        <f t="shared" si="3"/>
        <v>3.3387118555659875E-4</v>
      </c>
      <c r="G45" s="48">
        <f t="shared" si="4"/>
        <v>5.640330199366423E-2</v>
      </c>
      <c r="H45" s="30">
        <f t="shared" si="5"/>
        <v>0</v>
      </c>
    </row>
    <row r="46" spans="2:8" x14ac:dyDescent="0.25">
      <c r="B46" s="26">
        <v>43</v>
      </c>
      <c r="C46" s="52">
        <f t="shared" si="0"/>
        <v>0.28528173727691464</v>
      </c>
      <c r="D46" s="52">
        <f t="shared" si="1"/>
        <v>0.21779752656057286</v>
      </c>
      <c r="E46" s="48">
        <f t="shared" si="2"/>
        <v>-6.748421071634178E-2</v>
      </c>
      <c r="F46" s="48">
        <f t="shared" si="3"/>
        <v>-1.7532912250406795E-4</v>
      </c>
      <c r="G46" s="48">
        <f t="shared" si="4"/>
        <v>0.28510640815441057</v>
      </c>
      <c r="H46" s="30">
        <f t="shared" si="5"/>
        <v>0</v>
      </c>
    </row>
    <row r="47" spans="2:8" x14ac:dyDescent="0.25">
      <c r="B47" s="26">
        <v>44</v>
      </c>
      <c r="C47" s="52">
        <f t="shared" si="0"/>
        <v>5.6069430808107633E-2</v>
      </c>
      <c r="D47" s="52">
        <f t="shared" si="1"/>
        <v>0.18457651004529252</v>
      </c>
      <c r="E47" s="48">
        <f t="shared" si="2"/>
        <v>0.12850707923718488</v>
      </c>
      <c r="F47" s="48">
        <f t="shared" si="3"/>
        <v>3.3387118555659875E-4</v>
      </c>
      <c r="G47" s="48">
        <f t="shared" si="4"/>
        <v>5.640330199366423E-2</v>
      </c>
      <c r="H47" s="30">
        <f t="shared" si="5"/>
        <v>0</v>
      </c>
    </row>
    <row r="48" spans="2:8" x14ac:dyDescent="0.25">
      <c r="B48" s="26">
        <v>45</v>
      </c>
      <c r="C48" s="52">
        <f t="shared" si="0"/>
        <v>5.5974795488511517E-2</v>
      </c>
      <c r="D48" s="52">
        <f t="shared" si="1"/>
        <v>0.18455139999068912</v>
      </c>
      <c r="E48" s="48">
        <f t="shared" si="2"/>
        <v>0.12857660450217762</v>
      </c>
      <c r="F48" s="48">
        <f t="shared" si="3"/>
        <v>3.3405181749366437E-4</v>
      </c>
      <c r="G48" s="48">
        <f t="shared" si="4"/>
        <v>5.6308847306005182E-2</v>
      </c>
      <c r="H48" s="30">
        <f t="shared" si="5"/>
        <v>0</v>
      </c>
    </row>
    <row r="49" spans="1:21" x14ac:dyDescent="0.25">
      <c r="B49" s="26">
        <v>46</v>
      </c>
      <c r="C49" s="52">
        <f t="shared" si="0"/>
        <v>5.6069430808107633E-2</v>
      </c>
      <c r="D49" s="52">
        <f t="shared" si="1"/>
        <v>0.18457651004529252</v>
      </c>
      <c r="E49" s="48">
        <f t="shared" si="2"/>
        <v>0.12850707923718488</v>
      </c>
      <c r="F49" s="48">
        <f t="shared" si="3"/>
        <v>3.3387118555659875E-4</v>
      </c>
      <c r="G49" s="48">
        <f t="shared" si="4"/>
        <v>5.640330199366423E-2</v>
      </c>
      <c r="H49" s="30">
        <f t="shared" si="5"/>
        <v>0</v>
      </c>
    </row>
    <row r="50" spans="1:21" x14ac:dyDescent="0.25">
      <c r="B50" s="26">
        <v>47</v>
      </c>
      <c r="C50" s="52">
        <f t="shared" si="0"/>
        <v>0.44928960665019158</v>
      </c>
      <c r="D50" s="52">
        <f t="shared" si="1"/>
        <v>0.41294151992551731</v>
      </c>
      <c r="E50" s="48">
        <f t="shared" si="2"/>
        <v>-3.6348086724674267E-2</v>
      </c>
      <c r="F50" s="48">
        <f t="shared" si="3"/>
        <v>-9.4435099447575866E-5</v>
      </c>
      <c r="G50" s="48">
        <f t="shared" si="4"/>
        <v>0.44919517155074401</v>
      </c>
      <c r="H50" s="30">
        <f t="shared" si="5"/>
        <v>0</v>
      </c>
    </row>
    <row r="51" spans="1:21" x14ac:dyDescent="0.25">
      <c r="B51" s="26">
        <v>48</v>
      </c>
      <c r="C51" s="52">
        <f t="shared" si="0"/>
        <v>5.6069430808107633E-2</v>
      </c>
      <c r="D51" s="52">
        <f t="shared" si="1"/>
        <v>0.18457651004529252</v>
      </c>
      <c r="E51" s="48">
        <f t="shared" si="2"/>
        <v>0.12850707923718488</v>
      </c>
      <c r="F51" s="48">
        <f t="shared" si="3"/>
        <v>3.3387118555659875E-4</v>
      </c>
      <c r="G51" s="48">
        <f t="shared" si="4"/>
        <v>5.640330199366423E-2</v>
      </c>
      <c r="H51" s="30">
        <f t="shared" si="5"/>
        <v>0</v>
      </c>
    </row>
    <row r="52" spans="1:21" x14ac:dyDescent="0.25">
      <c r="B52" s="26">
        <v>49</v>
      </c>
      <c r="C52" s="52">
        <f t="shared" si="0"/>
        <v>0.20472977887589594</v>
      </c>
      <c r="D52" s="52">
        <f t="shared" si="1"/>
        <v>0.16067909526322774</v>
      </c>
      <c r="E52" s="48">
        <f t="shared" si="2"/>
        <v>-4.4050683612668201E-2</v>
      </c>
      <c r="F52" s="48">
        <f t="shared" si="3"/>
        <v>-1.1444703318791537E-4</v>
      </c>
      <c r="G52" s="48">
        <f t="shared" si="4"/>
        <v>0.20461533184270803</v>
      </c>
      <c r="H52" s="30">
        <f t="shared" si="5"/>
        <v>0</v>
      </c>
    </row>
    <row r="53" spans="1:21" x14ac:dyDescent="0.25">
      <c r="B53" s="26">
        <v>50</v>
      </c>
      <c r="C53" s="52">
        <f t="shared" si="0"/>
        <v>5.6069430808107633E-2</v>
      </c>
      <c r="D53" s="52">
        <f t="shared" si="1"/>
        <v>0.18457651004529252</v>
      </c>
      <c r="E53" s="48">
        <f t="shared" si="2"/>
        <v>0.12850707923718488</v>
      </c>
      <c r="F53" s="48">
        <f t="shared" si="3"/>
        <v>3.3387118555659875E-4</v>
      </c>
      <c r="G53" s="48">
        <f t="shared" si="4"/>
        <v>5.640330199366423E-2</v>
      </c>
      <c r="H53" s="30">
        <f t="shared" si="5"/>
        <v>0</v>
      </c>
    </row>
    <row r="54" spans="1:21" x14ac:dyDescent="0.25">
      <c r="C54" s="52"/>
      <c r="D54" s="52"/>
      <c r="E54" s="32"/>
      <c r="F54" s="32"/>
      <c r="G54" s="32"/>
      <c r="H54" s="30"/>
    </row>
    <row r="55" spans="1:21" x14ac:dyDescent="0.25">
      <c r="F55" s="26" t="s">
        <v>85</v>
      </c>
      <c r="G55" s="29">
        <f>IF(H4=0,0,100*H55/H4)</f>
        <v>0</v>
      </c>
      <c r="H55" s="29">
        <f>SQRT(SUMSQ(H5:H53))</f>
        <v>0</v>
      </c>
      <c r="I55" s="26" t="s">
        <v>52</v>
      </c>
    </row>
    <row r="56" spans="1:21" x14ac:dyDescent="0.25">
      <c r="F56" s="26" t="s">
        <v>86</v>
      </c>
      <c r="G56" s="29">
        <f>SQRT(SUMSQ(G4:G53))</f>
        <v>113.99498290564325</v>
      </c>
      <c r="H56" s="29">
        <f>SQRT(SUMSQ(H4:H53))</f>
        <v>0</v>
      </c>
      <c r="I56" s="26" t="s">
        <v>54</v>
      </c>
    </row>
    <row r="57" spans="1:21" x14ac:dyDescent="0.25">
      <c r="G57" s="26" t="s">
        <v>87</v>
      </c>
      <c r="H57" s="26" t="s">
        <v>13</v>
      </c>
    </row>
    <row r="59" spans="1:21" x14ac:dyDescent="0.25">
      <c r="A59" s="25" t="s">
        <v>63</v>
      </c>
      <c r="C59" s="36"/>
      <c r="D59" s="36"/>
      <c r="E59" s="36"/>
      <c r="F59" s="36"/>
      <c r="G59" s="36"/>
      <c r="H59" s="36"/>
      <c r="I59" s="36"/>
      <c r="J59" s="36"/>
      <c r="K59" s="36"/>
      <c r="L59" s="36"/>
      <c r="M59" s="36"/>
      <c r="N59" s="36"/>
      <c r="O59" s="36"/>
      <c r="P59" s="36"/>
      <c r="Q59" s="36"/>
      <c r="R59" s="36"/>
      <c r="S59" s="36"/>
    </row>
    <row r="60" spans="1:21" ht="14.4" x14ac:dyDescent="0.3">
      <c r="C60" s="1" t="s">
        <v>478</v>
      </c>
      <c r="D60" s="7">
        <f>100/D62</f>
        <v>1000</v>
      </c>
      <c r="E60" s="7">
        <f t="shared" ref="E60:U60" si="6">100/E62</f>
        <v>200</v>
      </c>
      <c r="F60" s="7">
        <f t="shared" si="6"/>
        <v>100</v>
      </c>
      <c r="G60" s="7">
        <f t="shared" si="6"/>
        <v>50</v>
      </c>
      <c r="H60" s="7">
        <f t="shared" si="6"/>
        <v>33.333333333333336</v>
      </c>
      <c r="I60" s="7">
        <f t="shared" si="6"/>
        <v>25</v>
      </c>
      <c r="J60" s="7">
        <f t="shared" si="6"/>
        <v>20</v>
      </c>
      <c r="K60" s="7">
        <f t="shared" si="6"/>
        <v>16.666666666666668</v>
      </c>
      <c r="L60" s="7">
        <f t="shared" si="6"/>
        <v>14.285714285714286</v>
      </c>
      <c r="M60" s="7">
        <f t="shared" si="6"/>
        <v>12.5</v>
      </c>
      <c r="N60" s="7">
        <f t="shared" si="6"/>
        <v>10</v>
      </c>
      <c r="O60" s="7">
        <f t="shared" si="6"/>
        <v>8.3333333333333339</v>
      </c>
      <c r="P60" s="7">
        <f t="shared" si="6"/>
        <v>7.1428571428571432</v>
      </c>
      <c r="Q60" s="7">
        <f t="shared" si="6"/>
        <v>5.5555555555555554</v>
      </c>
      <c r="R60" s="7">
        <f t="shared" si="6"/>
        <v>4.7619047619047619</v>
      </c>
      <c r="S60" s="7">
        <f t="shared" si="6"/>
        <v>1</v>
      </c>
      <c r="T60" s="7">
        <f t="shared" si="6"/>
        <v>0.1</v>
      </c>
      <c r="U60" s="7">
        <f t="shared" si="6"/>
        <v>0.01</v>
      </c>
    </row>
    <row r="61" spans="1:21" ht="14.4" x14ac:dyDescent="0.3">
      <c r="C61" s="1" t="s">
        <v>64</v>
      </c>
      <c r="D61">
        <v>0</v>
      </c>
      <c r="E61">
        <v>1</v>
      </c>
      <c r="F61">
        <v>2</v>
      </c>
      <c r="G61">
        <v>3</v>
      </c>
      <c r="H61">
        <v>4</v>
      </c>
      <c r="I61">
        <v>5</v>
      </c>
      <c r="J61">
        <v>6</v>
      </c>
      <c r="K61">
        <v>7</v>
      </c>
      <c r="L61">
        <v>8</v>
      </c>
      <c r="M61">
        <v>9</v>
      </c>
      <c r="N61">
        <v>10</v>
      </c>
      <c r="O61">
        <v>11</v>
      </c>
      <c r="P61">
        <v>12</v>
      </c>
      <c r="Q61">
        <v>13</v>
      </c>
      <c r="R61">
        <v>14</v>
      </c>
      <c r="S61">
        <v>15</v>
      </c>
      <c r="T61">
        <v>16</v>
      </c>
      <c r="U61">
        <v>17</v>
      </c>
    </row>
    <row r="62" spans="1:21" ht="14.4" x14ac:dyDescent="0.3">
      <c r="A62" s="26" t="s">
        <v>65</v>
      </c>
      <c r="B62" s="54"/>
      <c r="C62" s="216" t="s">
        <v>1</v>
      </c>
      <c r="D62" s="296">
        <v>0.1</v>
      </c>
      <c r="E62" s="296">
        <v>0.5</v>
      </c>
      <c r="F62" s="296">
        <v>1</v>
      </c>
      <c r="G62" s="296">
        <v>2</v>
      </c>
      <c r="H62" s="296">
        <v>3</v>
      </c>
      <c r="I62" s="296">
        <v>4</v>
      </c>
      <c r="J62" s="296">
        <v>5</v>
      </c>
      <c r="K62" s="296">
        <v>6</v>
      </c>
      <c r="L62" s="296">
        <v>7</v>
      </c>
      <c r="M62" s="296">
        <v>8</v>
      </c>
      <c r="N62" s="296">
        <v>10</v>
      </c>
      <c r="O62" s="296">
        <v>12</v>
      </c>
      <c r="P62" s="296">
        <v>14</v>
      </c>
      <c r="Q62" s="296">
        <v>18</v>
      </c>
      <c r="R62" s="296">
        <v>21</v>
      </c>
      <c r="S62" s="296">
        <v>100</v>
      </c>
      <c r="T62" s="296">
        <v>1000</v>
      </c>
      <c r="U62" s="296">
        <v>10000</v>
      </c>
    </row>
    <row r="63" spans="1:21" ht="14.4" x14ac:dyDescent="0.3">
      <c r="A63" s="31"/>
      <c r="C63" s="1" t="s">
        <v>64</v>
      </c>
      <c r="D63">
        <v>0</v>
      </c>
      <c r="E63">
        <v>1</v>
      </c>
      <c r="F63">
        <v>2</v>
      </c>
      <c r="G63">
        <v>3</v>
      </c>
      <c r="H63">
        <v>4</v>
      </c>
      <c r="I63">
        <v>5</v>
      </c>
      <c r="J63">
        <v>6</v>
      </c>
      <c r="K63">
        <v>7</v>
      </c>
      <c r="L63">
        <v>8</v>
      </c>
      <c r="M63">
        <v>9</v>
      </c>
      <c r="N63">
        <v>10</v>
      </c>
      <c r="O63">
        <v>11</v>
      </c>
      <c r="P63">
        <v>12</v>
      </c>
      <c r="Q63">
        <v>13</v>
      </c>
      <c r="R63">
        <v>14</v>
      </c>
      <c r="S63">
        <v>15</v>
      </c>
      <c r="T63">
        <v>16</v>
      </c>
      <c r="U63">
        <v>17</v>
      </c>
    </row>
    <row r="64" spans="1:21" ht="14.4" x14ac:dyDescent="0.3">
      <c r="A64" s="43">
        <v>2</v>
      </c>
      <c r="B64" s="43"/>
      <c r="C64" s="1"/>
      <c r="D64" s="298">
        <v>1.7291324964220301E-2</v>
      </c>
      <c r="E64" s="298">
        <v>6.6998018440489568E-2</v>
      </c>
      <c r="F64" s="298">
        <v>0.12416560747379798</v>
      </c>
      <c r="G64" s="298">
        <v>0.19164678959143519</v>
      </c>
      <c r="H64" s="298">
        <v>3.2432337711389723E-2</v>
      </c>
      <c r="I64" s="298">
        <v>2.6794917304969575E-2</v>
      </c>
      <c r="J64" s="298">
        <v>1.0787351058726545E-2</v>
      </c>
      <c r="K64" s="298">
        <v>1.5488830696511377E-2</v>
      </c>
      <c r="L64" s="298">
        <v>1.1120918013740941E-2</v>
      </c>
      <c r="M64" s="298">
        <v>1.2571907703050382E-2</v>
      </c>
      <c r="N64" s="298">
        <v>2.636287592484499E-2</v>
      </c>
      <c r="O64" s="298">
        <v>3.9068771982494086E-3</v>
      </c>
      <c r="P64" s="298">
        <v>1.783236037225493E-2</v>
      </c>
      <c r="Q64" s="298">
        <v>6.5715038062707058E-3</v>
      </c>
      <c r="R64" s="298">
        <v>5.7146036546192576E-3</v>
      </c>
      <c r="S64" s="298">
        <v>5.7146036546192576E-3</v>
      </c>
      <c r="T64" s="298">
        <v>5.7146036546192576E-3</v>
      </c>
      <c r="U64" s="298">
        <v>5.7146036546192576E-3</v>
      </c>
    </row>
    <row r="65" spans="1:21" ht="14.4" x14ac:dyDescent="0.3">
      <c r="A65" s="43">
        <v>3</v>
      </c>
      <c r="B65" s="43"/>
      <c r="C65" s="1"/>
      <c r="D65" s="298">
        <v>0.55385104430828935</v>
      </c>
      <c r="E65" s="298">
        <v>8.5473774716319078</v>
      </c>
      <c r="F65" s="298">
        <v>4.3857615521600959</v>
      </c>
      <c r="G65" s="298">
        <v>4.8916763402676038</v>
      </c>
      <c r="H65" s="298">
        <v>5.107248510230364</v>
      </c>
      <c r="I65" s="298">
        <v>6.2072885442798249</v>
      </c>
      <c r="J65" s="298">
        <v>7.7608557639223745</v>
      </c>
      <c r="K65" s="298">
        <v>5.1365577880102951</v>
      </c>
      <c r="L65" s="298">
        <v>3.7115343236794409</v>
      </c>
      <c r="M65" s="298">
        <v>2.8652501742303245</v>
      </c>
      <c r="N65" s="298">
        <v>1.976424393859703</v>
      </c>
      <c r="O65" s="298">
        <v>1.512989131711088</v>
      </c>
      <c r="P65" s="298">
        <v>1.2479844012146544</v>
      </c>
      <c r="Q65" s="298">
        <v>0.90186138282906037</v>
      </c>
      <c r="R65" s="298">
        <v>0.8611207071065603</v>
      </c>
      <c r="S65" s="298">
        <v>0.8611207071065603</v>
      </c>
      <c r="T65" s="298">
        <v>0.8611207071065603</v>
      </c>
      <c r="U65" s="298">
        <v>0.8611207071065603</v>
      </c>
    </row>
    <row r="66" spans="1:21" ht="14.4" x14ac:dyDescent="0.3">
      <c r="A66" s="43">
        <v>4</v>
      </c>
      <c r="B66" s="43"/>
      <c r="C66" s="1"/>
      <c r="D66" s="298">
        <v>0.13520250276733159</v>
      </c>
      <c r="E66" s="298">
        <v>2.8695360144102396E-2</v>
      </c>
      <c r="F66" s="298">
        <v>0.11237654569855723</v>
      </c>
      <c r="G66" s="298">
        <v>0.1270693443534559</v>
      </c>
      <c r="H66" s="298">
        <v>2.9673650735424224E-2</v>
      </c>
      <c r="I66" s="298">
        <v>2.1212221057019379E-2</v>
      </c>
      <c r="J66" s="298">
        <v>1.8916758051922035E-2</v>
      </c>
      <c r="K66" s="298">
        <v>2.4591818946340816E-2</v>
      </c>
      <c r="L66" s="298">
        <v>2.2309871990685983E-2</v>
      </c>
      <c r="M66" s="298">
        <v>1.4672119245636975E-2</v>
      </c>
      <c r="N66" s="298">
        <v>3.4977738354405041E-3</v>
      </c>
      <c r="O66" s="298">
        <v>3.318391374383355E-3</v>
      </c>
      <c r="P66" s="298">
        <v>1.8380050856337499E-2</v>
      </c>
      <c r="Q66" s="298">
        <v>5.7240454854559945E-3</v>
      </c>
      <c r="R66" s="298">
        <v>1.5847873572736098E-3</v>
      </c>
      <c r="S66" s="298">
        <v>1.5847873572736098E-3</v>
      </c>
      <c r="T66" s="298">
        <v>1.5847873572736098E-3</v>
      </c>
      <c r="U66" s="298">
        <v>1.5847873572736098E-3</v>
      </c>
    </row>
    <row r="67" spans="1:21" ht="14.4" x14ac:dyDescent="0.3">
      <c r="A67" s="43">
        <v>5</v>
      </c>
      <c r="B67" s="43"/>
      <c r="C67" s="1"/>
      <c r="D67" s="298">
        <v>93.368748010282204</v>
      </c>
      <c r="E67" s="298">
        <v>82.87682728374898</v>
      </c>
      <c r="F67" s="298">
        <v>73.247221838386295</v>
      </c>
      <c r="G67" s="298">
        <v>60.831459052554194</v>
      </c>
      <c r="H67" s="298">
        <v>49.382828970020235</v>
      </c>
      <c r="I67" s="298">
        <v>41.72752692184784</v>
      </c>
      <c r="J67" s="298">
        <v>37.27946499417164</v>
      </c>
      <c r="K67" s="298">
        <v>34.240442443062605</v>
      </c>
      <c r="L67" s="298">
        <v>31.801834469310585</v>
      </c>
      <c r="M67" s="298">
        <v>29.833911528390878</v>
      </c>
      <c r="N67" s="298">
        <v>26.829447444032468</v>
      </c>
      <c r="O67" s="298">
        <v>24.524377947577921</v>
      </c>
      <c r="P67" s="298">
        <v>22.666145948519805</v>
      </c>
      <c r="Q67" s="298">
        <v>19.683481307529799</v>
      </c>
      <c r="R67" s="298">
        <v>19.55420880107971</v>
      </c>
      <c r="S67" s="298">
        <v>19.55420880107971</v>
      </c>
      <c r="T67" s="298">
        <v>19.55420880107971</v>
      </c>
      <c r="U67" s="298">
        <v>19.55420880107971</v>
      </c>
    </row>
    <row r="68" spans="1:21" ht="14.4" x14ac:dyDescent="0.3">
      <c r="A68" s="43">
        <v>6</v>
      </c>
      <c r="B68" s="43"/>
      <c r="C68" s="1"/>
      <c r="D68" s="298">
        <v>6.8818496078623531E-2</v>
      </c>
      <c r="E68" s="298">
        <v>5.2936191485114158E-2</v>
      </c>
      <c r="F68" s="298">
        <v>7.0102641631974985E-3</v>
      </c>
      <c r="G68" s="298">
        <v>1.1862351899176933E-2</v>
      </c>
      <c r="H68" s="298">
        <v>1.9222702695116914E-3</v>
      </c>
      <c r="I68" s="298">
        <v>1.1087146410300954E-2</v>
      </c>
      <c r="J68" s="298">
        <v>6.7285132893848583E-3</v>
      </c>
      <c r="K68" s="298">
        <v>4.5194792975590103E-3</v>
      </c>
      <c r="L68" s="298">
        <v>6.0169639857389576E-3</v>
      </c>
      <c r="M68" s="298">
        <v>7.3330327729595772E-3</v>
      </c>
      <c r="N68" s="298">
        <v>4.9368015428742544E-3</v>
      </c>
      <c r="O68" s="298">
        <v>2.1005572354824645E-3</v>
      </c>
      <c r="P68" s="298">
        <v>9.2816222816082712E-3</v>
      </c>
      <c r="Q68" s="298">
        <v>3.8021989595571734E-3</v>
      </c>
      <c r="R68" s="298">
        <v>2.6949365909897677E-3</v>
      </c>
      <c r="S68" s="298">
        <v>2.6949365909897677E-3</v>
      </c>
      <c r="T68" s="298">
        <v>2.6949365909897677E-3</v>
      </c>
      <c r="U68" s="298">
        <v>2.6949365909897677E-3</v>
      </c>
    </row>
    <row r="69" spans="1:21" ht="14.4" x14ac:dyDescent="0.3">
      <c r="A69" s="43">
        <v>7</v>
      </c>
      <c r="B69" s="43"/>
      <c r="C69" s="1"/>
      <c r="D69" s="298">
        <v>85.792929223620419</v>
      </c>
      <c r="E69" s="298">
        <v>65.67536665068971</v>
      </c>
      <c r="F69" s="298">
        <v>52.471101352240538</v>
      </c>
      <c r="G69" s="298">
        <v>34.473926081721721</v>
      </c>
      <c r="H69" s="298">
        <v>20.70483242585701</v>
      </c>
      <c r="I69" s="298">
        <v>13.8859457017344</v>
      </c>
      <c r="J69" s="298">
        <v>10.407370469722119</v>
      </c>
      <c r="K69" s="298">
        <v>8.4234250472584673</v>
      </c>
      <c r="L69" s="298">
        <v>7.3447486655802345</v>
      </c>
      <c r="M69" s="298">
        <v>6.8022663683683335</v>
      </c>
      <c r="N69" s="298">
        <v>6.5166708279323533</v>
      </c>
      <c r="O69" s="298">
        <v>6.6273860488121423</v>
      </c>
      <c r="P69" s="298">
        <v>6.8022403042729351</v>
      </c>
      <c r="Q69" s="298">
        <v>6.987229811341364</v>
      </c>
      <c r="R69" s="298">
        <v>7.326010337515557</v>
      </c>
      <c r="S69" s="298">
        <v>7.326010337515557</v>
      </c>
      <c r="T69" s="298">
        <v>7.326010337515557</v>
      </c>
      <c r="U69" s="298">
        <v>7.326010337515557</v>
      </c>
    </row>
    <row r="70" spans="1:21" ht="14.4" x14ac:dyDescent="0.3">
      <c r="A70" s="43">
        <v>8</v>
      </c>
      <c r="B70" s="43"/>
      <c r="C70" s="1"/>
      <c r="D70" s="298">
        <v>0.15207091572872264</v>
      </c>
      <c r="E70" s="298">
        <v>5.2891824469196221E-2</v>
      </c>
      <c r="F70" s="298">
        <v>5.7040082585237739E-2</v>
      </c>
      <c r="G70" s="298">
        <v>1.9116049168177565E-2</v>
      </c>
      <c r="H70" s="298">
        <v>2.3564987660073828E-2</v>
      </c>
      <c r="I70" s="298">
        <v>8.5355102461392024E-3</v>
      </c>
      <c r="J70" s="298">
        <v>1.9603945043945102E-2</v>
      </c>
      <c r="K70" s="298">
        <v>1.2636657164619786E-2</v>
      </c>
      <c r="L70" s="298">
        <v>1.0643351525778579E-2</v>
      </c>
      <c r="M70" s="298">
        <v>4.3473848598230228E-3</v>
      </c>
      <c r="N70" s="298">
        <v>2.5415807506222721E-3</v>
      </c>
      <c r="O70" s="298">
        <v>1.2216655309818655E-3</v>
      </c>
      <c r="P70" s="298">
        <v>6.4595461603830819E-3</v>
      </c>
      <c r="Q70" s="298">
        <v>1.3983813924981661E-3</v>
      </c>
      <c r="R70" s="298">
        <v>3.4056178014729927E-3</v>
      </c>
      <c r="S70" s="298">
        <v>3.4056178014729927E-3</v>
      </c>
      <c r="T70" s="298">
        <v>3.4056178014729927E-3</v>
      </c>
      <c r="U70" s="298">
        <v>3.4056178014729927E-3</v>
      </c>
    </row>
    <row r="71" spans="1:21" ht="14.4" x14ac:dyDescent="0.3">
      <c r="A71" s="43">
        <v>9</v>
      </c>
      <c r="B71" s="43"/>
      <c r="C71" s="1"/>
      <c r="D71" s="298">
        <v>1.154353524821659</v>
      </c>
      <c r="E71" s="298">
        <v>3.5914593530271834</v>
      </c>
      <c r="F71" s="298">
        <v>0.66156600737101889</v>
      </c>
      <c r="G71" s="298">
        <v>0.60368769264829547</v>
      </c>
      <c r="H71" s="298">
        <v>0.42447764331950832</v>
      </c>
      <c r="I71" s="298">
        <v>1.0648962156533353</v>
      </c>
      <c r="J71" s="298">
        <v>1.5532650518305111</v>
      </c>
      <c r="K71" s="298">
        <v>0.98716445545758624</v>
      </c>
      <c r="L71" s="298">
        <v>0.68104076968532634</v>
      </c>
      <c r="M71" s="298">
        <v>0.50610374236669098</v>
      </c>
      <c r="N71" s="298">
        <v>0.31868142208094846</v>
      </c>
      <c r="O71" s="298">
        <v>0.22626624756676589</v>
      </c>
      <c r="P71" s="298">
        <v>0.1789795622711387</v>
      </c>
      <c r="Q71" s="298">
        <v>0.13966052871548112</v>
      </c>
      <c r="R71" s="298">
        <v>0.13247290047204982</v>
      </c>
      <c r="S71" s="298">
        <v>0.13247290047204982</v>
      </c>
      <c r="T71" s="298">
        <v>0.13247290047204982</v>
      </c>
      <c r="U71" s="298">
        <v>0.13247290047204982</v>
      </c>
    </row>
    <row r="72" spans="1:21" ht="14.4" x14ac:dyDescent="0.3">
      <c r="A72" s="43">
        <v>10</v>
      </c>
      <c r="B72" s="43"/>
      <c r="C72" s="1"/>
      <c r="D72" s="298">
        <v>0.2294007148283545</v>
      </c>
      <c r="E72" s="298">
        <v>4.67408371331944E-2</v>
      </c>
      <c r="F72" s="298">
        <v>3.9171017790739594E-2</v>
      </c>
      <c r="G72" s="298">
        <v>3.1896110289054799E-2</v>
      </c>
      <c r="H72" s="298">
        <v>9.7072760067846587E-3</v>
      </c>
      <c r="I72" s="298">
        <v>1.3760275349404955E-2</v>
      </c>
      <c r="J72" s="298">
        <v>1.2351163020258928E-2</v>
      </c>
      <c r="K72" s="298">
        <v>7.8770677291336265E-3</v>
      </c>
      <c r="L72" s="298">
        <v>6.6241460677741474E-3</v>
      </c>
      <c r="M72" s="298">
        <v>9.5446111698385379E-4</v>
      </c>
      <c r="N72" s="298">
        <v>5.9000829249238182E-3</v>
      </c>
      <c r="O72" s="298">
        <v>2.8410236973985879E-3</v>
      </c>
      <c r="P72" s="298">
        <v>3.0933034144878684E-3</v>
      </c>
      <c r="Q72" s="298">
        <v>1.7024651539385351E-3</v>
      </c>
      <c r="R72" s="298">
        <v>3.8405411483555876E-3</v>
      </c>
      <c r="S72" s="298">
        <v>3.8405411483555876E-3</v>
      </c>
      <c r="T72" s="298">
        <v>3.8405411483555876E-3</v>
      </c>
      <c r="U72" s="298">
        <v>3.8405411483555876E-3</v>
      </c>
    </row>
    <row r="73" spans="1:21" ht="14.4" x14ac:dyDescent="0.3">
      <c r="A73" s="43">
        <v>11</v>
      </c>
      <c r="B73" s="43"/>
      <c r="C73" s="1"/>
      <c r="D73" s="298">
        <v>69.048567707776243</v>
      </c>
      <c r="E73" s="298">
        <v>33.685348584817774</v>
      </c>
      <c r="F73" s="298">
        <v>15.583787301158949</v>
      </c>
      <c r="G73" s="298">
        <v>6.5636008603412694</v>
      </c>
      <c r="H73" s="298">
        <v>7.6797975872700235</v>
      </c>
      <c r="I73" s="298">
        <v>7.4570840283088478</v>
      </c>
      <c r="J73" s="298">
        <v>6.9055670232180777</v>
      </c>
      <c r="K73" s="298">
        <v>6.5341193000171698</v>
      </c>
      <c r="L73" s="298">
        <v>6.0786150094839924</v>
      </c>
      <c r="M73" s="298">
        <v>5.6151234987755405</v>
      </c>
      <c r="N73" s="298">
        <v>4.7731220793376856</v>
      </c>
      <c r="O73" s="298">
        <v>4.037747204995374</v>
      </c>
      <c r="P73" s="298">
        <v>3.4442053406397228</v>
      </c>
      <c r="Q73" s="298">
        <v>2.6571079286057731</v>
      </c>
      <c r="R73" s="298">
        <v>2.6319335627413896</v>
      </c>
      <c r="S73" s="298">
        <v>2.6319335627413896</v>
      </c>
      <c r="T73" s="298">
        <v>2.6319335627413896</v>
      </c>
      <c r="U73" s="298">
        <v>2.6319335627413896</v>
      </c>
    </row>
    <row r="74" spans="1:21" ht="14.4" x14ac:dyDescent="0.3">
      <c r="A74" s="43">
        <v>12</v>
      </c>
      <c r="B74" s="43"/>
      <c r="C74" s="1"/>
      <c r="D74" s="298">
        <v>4.3926126021925166E-2</v>
      </c>
      <c r="E74" s="298">
        <v>1.2877494467594758E-2</v>
      </c>
      <c r="F74" s="298">
        <v>4.5954157397374695E-3</v>
      </c>
      <c r="G74" s="298">
        <v>5.329225146697902E-3</v>
      </c>
      <c r="H74" s="298">
        <v>1.7455825337836627E-3</v>
      </c>
      <c r="I74" s="298">
        <v>6.1922252654432195E-3</v>
      </c>
      <c r="J74" s="298">
        <v>4.6340307760456886E-3</v>
      </c>
      <c r="K74" s="298">
        <v>1.2658928420938899E-3</v>
      </c>
      <c r="L74" s="298">
        <v>7.2345470714335765E-4</v>
      </c>
      <c r="M74" s="298">
        <v>2.8137542278655172E-3</v>
      </c>
      <c r="N74" s="298">
        <v>3.3387817150023614E-3</v>
      </c>
      <c r="O74" s="298">
        <v>7.0415228820549169E-4</v>
      </c>
      <c r="P74" s="298">
        <v>3.2866827675993235E-3</v>
      </c>
      <c r="Q74" s="298">
        <v>2.129932191298423E-3</v>
      </c>
      <c r="R74" s="298">
        <v>3.0726078205235829E-3</v>
      </c>
      <c r="S74" s="298">
        <v>3.0726078205235829E-3</v>
      </c>
      <c r="T74" s="298">
        <v>3.0726078205235829E-3</v>
      </c>
      <c r="U74" s="298">
        <v>3.0726078205235829E-3</v>
      </c>
    </row>
    <row r="75" spans="1:21" ht="14.4" x14ac:dyDescent="0.3">
      <c r="A75" s="43">
        <v>13</v>
      </c>
      <c r="B75" s="43"/>
      <c r="C75" s="1"/>
      <c r="D75" s="298">
        <v>57.626071680473594</v>
      </c>
      <c r="E75" s="298">
        <v>19.008833408591933</v>
      </c>
      <c r="F75" s="298">
        <v>6.0811074483745449</v>
      </c>
      <c r="G75" s="298">
        <v>6.4203508662030933</v>
      </c>
      <c r="H75" s="298">
        <v>4.053836065316168</v>
      </c>
      <c r="I75" s="298">
        <v>3.136813925533426</v>
      </c>
      <c r="J75" s="298">
        <v>3.2687886565984781</v>
      </c>
      <c r="K75" s="298">
        <v>3.1927019928471165</v>
      </c>
      <c r="L75" s="298">
        <v>3.1590323561450395</v>
      </c>
      <c r="M75" s="298">
        <v>3.1114405010378423</v>
      </c>
      <c r="N75" s="298">
        <v>2.9413990501469054</v>
      </c>
      <c r="O75" s="298">
        <v>2.6891381919916104</v>
      </c>
      <c r="P75" s="298">
        <v>2.4129113867682368</v>
      </c>
      <c r="Q75" s="298">
        <v>1.9019132140355048</v>
      </c>
      <c r="R75" s="298">
        <v>1.9731316672454773</v>
      </c>
      <c r="S75" s="298">
        <v>1.9731316672454773</v>
      </c>
      <c r="T75" s="298">
        <v>1.9731316672454773</v>
      </c>
      <c r="U75" s="298">
        <v>1.9731316672454773</v>
      </c>
    </row>
    <row r="76" spans="1:21" ht="14.4" x14ac:dyDescent="0.3">
      <c r="A76" s="43">
        <v>14</v>
      </c>
      <c r="B76" s="43"/>
      <c r="C76" s="1"/>
      <c r="D76" s="298">
        <v>0.20927403927484672</v>
      </c>
      <c r="E76" s="298">
        <v>5.5602611265487843E-2</v>
      </c>
      <c r="F76" s="298">
        <v>4.0150680983375708E-2</v>
      </c>
      <c r="G76" s="298">
        <v>1.1364022598705132E-2</v>
      </c>
      <c r="H76" s="298">
        <v>1.5808693433503308E-2</v>
      </c>
      <c r="I76" s="298">
        <v>1.1300571663228018E-2</v>
      </c>
      <c r="J76" s="298">
        <v>1.3986444352451872E-2</v>
      </c>
      <c r="K76" s="298">
        <v>1.3726550136797936E-2</v>
      </c>
      <c r="L76" s="298">
        <v>1.2922710779955417E-2</v>
      </c>
      <c r="M76" s="298">
        <v>6.7573395777536377E-3</v>
      </c>
      <c r="N76" s="298">
        <v>6.0541163970223889E-3</v>
      </c>
      <c r="O76" s="298">
        <v>8.8566143641728831E-4</v>
      </c>
      <c r="P76" s="298">
        <v>4.5856434142929501E-3</v>
      </c>
      <c r="Q76" s="298">
        <v>2.3769049086772155E-3</v>
      </c>
      <c r="R76" s="298">
        <v>2.1687917940923906E-3</v>
      </c>
      <c r="S76" s="298">
        <v>2.1687917940923906E-3</v>
      </c>
      <c r="T76" s="298">
        <v>2.1687917940923906E-3</v>
      </c>
      <c r="U76" s="298">
        <v>2.1687917940923906E-3</v>
      </c>
    </row>
    <row r="77" spans="1:21" ht="14.4" x14ac:dyDescent="0.3">
      <c r="A77" s="43">
        <v>15</v>
      </c>
      <c r="B77" s="43"/>
      <c r="C77" s="1"/>
      <c r="D77" s="298">
        <v>1.136851568371505</v>
      </c>
      <c r="E77" s="298">
        <v>0.23095610968918576</v>
      </c>
      <c r="F77" s="298">
        <v>0.45935010470309795</v>
      </c>
      <c r="G77" s="298">
        <v>0.33979479464125767</v>
      </c>
      <c r="H77" s="298">
        <v>0.19877874639876153</v>
      </c>
      <c r="I77" s="298">
        <v>0.6117370588990978</v>
      </c>
      <c r="J77" s="298">
        <v>0.7739736036483279</v>
      </c>
      <c r="K77" s="298">
        <v>0.47689818111624066</v>
      </c>
      <c r="L77" s="298">
        <v>0.32445444976062632</v>
      </c>
      <c r="M77" s="298">
        <v>0.24590737646040681</v>
      </c>
      <c r="N77" s="298">
        <v>0.17863761703347875</v>
      </c>
      <c r="O77" s="298">
        <v>0.15238590146764369</v>
      </c>
      <c r="P77" s="298">
        <v>0.13879587874692803</v>
      </c>
      <c r="Q77" s="298">
        <v>0.10849930149243135</v>
      </c>
      <c r="R77" s="298">
        <v>0.10438708261063094</v>
      </c>
      <c r="S77" s="298">
        <v>0.10438708261063094</v>
      </c>
      <c r="T77" s="298">
        <v>0.10438708261063094</v>
      </c>
      <c r="U77" s="298">
        <v>0.10438708261063094</v>
      </c>
    </row>
    <row r="78" spans="1:21" ht="14.4" x14ac:dyDescent="0.3">
      <c r="A78" s="43">
        <v>16</v>
      </c>
      <c r="B78" s="43"/>
      <c r="C78" s="1"/>
      <c r="D78" s="298">
        <v>0.21260480542905863</v>
      </c>
      <c r="E78" s="298">
        <v>5.5251059810874539E-2</v>
      </c>
      <c r="F78" s="298">
        <v>2.9549060045343564E-2</v>
      </c>
      <c r="G78" s="298">
        <v>1.9149260351853523E-2</v>
      </c>
      <c r="H78" s="298">
        <v>8.8894084206710914E-3</v>
      </c>
      <c r="I78" s="298">
        <v>9.8004503653837914E-3</v>
      </c>
      <c r="J78" s="298">
        <v>9.3355107602731344E-3</v>
      </c>
      <c r="K78" s="298">
        <v>1.1176506405604431E-2</v>
      </c>
      <c r="L78" s="298">
        <v>1.0797812516310075E-2</v>
      </c>
      <c r="M78" s="298">
        <v>4.9258459762198314E-3</v>
      </c>
      <c r="N78" s="298">
        <v>1.5412362332936629E-3</v>
      </c>
      <c r="O78" s="298">
        <v>1.7707278526791228E-3</v>
      </c>
      <c r="P78" s="298">
        <v>3.8905467511792919E-3</v>
      </c>
      <c r="Q78" s="298">
        <v>3.1270051788819786E-3</v>
      </c>
      <c r="R78" s="298">
        <v>2.7546885466757905E-3</v>
      </c>
      <c r="S78" s="298">
        <v>2.7546885466757905E-3</v>
      </c>
      <c r="T78" s="298">
        <v>2.7546885466757905E-3</v>
      </c>
      <c r="U78" s="298">
        <v>2.7546885466757905E-3</v>
      </c>
    </row>
    <row r="79" spans="1:21" ht="14.4" x14ac:dyDescent="0.3">
      <c r="A79" s="43">
        <v>17</v>
      </c>
      <c r="B79" s="43"/>
      <c r="C79" s="1"/>
      <c r="D79" s="299">
        <v>38.305868434141544</v>
      </c>
      <c r="E79" s="298">
        <v>5.2999903687276673</v>
      </c>
      <c r="F79" s="298">
        <v>6.2578007441416821</v>
      </c>
      <c r="G79" s="299">
        <v>3.651615692351549</v>
      </c>
      <c r="H79" s="299">
        <v>3.9361368606820331</v>
      </c>
      <c r="I79" s="299">
        <v>3.5365888642625669</v>
      </c>
      <c r="J79" s="298">
        <v>2.7954962272937816</v>
      </c>
      <c r="K79" s="298">
        <v>2.4617473384512585</v>
      </c>
      <c r="L79" s="298">
        <v>2.1281057585635259</v>
      </c>
      <c r="M79" s="298">
        <v>1.850567348179557</v>
      </c>
      <c r="N79" s="299">
        <v>1.5324828885585096</v>
      </c>
      <c r="O79" s="298">
        <v>1.4251739565426205</v>
      </c>
      <c r="P79" s="298">
        <v>1.4117622874341469</v>
      </c>
      <c r="Q79" s="298">
        <v>1.3485789449567889</v>
      </c>
      <c r="R79" s="298">
        <v>1.3516864824509252</v>
      </c>
      <c r="S79" s="298">
        <v>1.3516864824509252</v>
      </c>
      <c r="T79" s="298">
        <v>1.3516864824509252</v>
      </c>
      <c r="U79" s="298">
        <v>1.3516864824509252</v>
      </c>
    </row>
    <row r="80" spans="1:21" ht="14.4" x14ac:dyDescent="0.3">
      <c r="A80" s="43">
        <v>18</v>
      </c>
      <c r="B80" s="43"/>
      <c r="C80" s="1"/>
      <c r="D80" s="298">
        <v>6.8073317161051342E-3</v>
      </c>
      <c r="E80" s="298">
        <v>4.4855023970696963E-3</v>
      </c>
      <c r="F80" s="298">
        <v>3.7080452251308581E-3</v>
      </c>
      <c r="G80" s="298">
        <v>4.1891794258732719E-3</v>
      </c>
      <c r="H80" s="298">
        <v>2.5800652861531514E-3</v>
      </c>
      <c r="I80" s="298">
        <v>5.1323452366736095E-3</v>
      </c>
      <c r="J80" s="298">
        <v>3.2624660891922676E-3</v>
      </c>
      <c r="K80" s="298">
        <v>9.7248963017647263E-4</v>
      </c>
      <c r="L80" s="298">
        <v>5.3824967182370125E-4</v>
      </c>
      <c r="M80" s="298">
        <v>3.4207800467921257E-3</v>
      </c>
      <c r="N80" s="298">
        <v>2.3022193218101682E-3</v>
      </c>
      <c r="O80" s="298">
        <v>7.1766985210155283E-4</v>
      </c>
      <c r="P80" s="298">
        <v>1.6747979107749516E-3</v>
      </c>
      <c r="Q80" s="298">
        <v>1.0243399597807483E-3</v>
      </c>
      <c r="R80" s="298">
        <v>2.7645882744071495E-3</v>
      </c>
      <c r="S80" s="298">
        <v>2.7645882744071495E-3</v>
      </c>
      <c r="T80" s="298">
        <v>2.7645882744071495E-3</v>
      </c>
      <c r="U80" s="298">
        <v>2.7645882744071495E-3</v>
      </c>
    </row>
    <row r="81" spans="1:21" ht="14.4" x14ac:dyDescent="0.3">
      <c r="A81" s="43">
        <v>19</v>
      </c>
      <c r="B81" s="43"/>
      <c r="C81" s="1"/>
      <c r="D81" s="298">
        <v>28.12675018493254</v>
      </c>
      <c r="E81" s="298">
        <v>5.7694235730205383</v>
      </c>
      <c r="F81" s="298">
        <v>4.4923444139523241</v>
      </c>
      <c r="G81" s="298">
        <v>2.461818140179882</v>
      </c>
      <c r="H81" s="298">
        <v>1.5612033953483941</v>
      </c>
      <c r="I81" s="298">
        <v>1.435344927819425</v>
      </c>
      <c r="J81" s="298">
        <v>1.8152549557696753</v>
      </c>
      <c r="K81" s="298">
        <v>1.7533389509717254</v>
      </c>
      <c r="L81" s="298">
        <v>1.6441205577377018</v>
      </c>
      <c r="M81" s="298">
        <v>1.5015094716885002</v>
      </c>
      <c r="N81" s="298">
        <v>1.1978760529333901</v>
      </c>
      <c r="O81" s="298">
        <v>0.96493434637770215</v>
      </c>
      <c r="P81" s="298">
        <v>0.86230538911097832</v>
      </c>
      <c r="Q81" s="298">
        <v>0.87143134542122158</v>
      </c>
      <c r="R81" s="298">
        <v>0.89423887387252965</v>
      </c>
      <c r="S81" s="298">
        <v>0.89423887387252965</v>
      </c>
      <c r="T81" s="298">
        <v>0.89423887387252965</v>
      </c>
      <c r="U81" s="298">
        <v>0.89423887387252965</v>
      </c>
    </row>
    <row r="82" spans="1:21" ht="14.4" x14ac:dyDescent="0.3">
      <c r="A82" s="43">
        <v>20</v>
      </c>
      <c r="B82" s="43"/>
      <c r="C82" s="1"/>
      <c r="D82" s="298">
        <v>0.16228025606892954</v>
      </c>
      <c r="E82" s="298">
        <v>3.4304595434386999E-2</v>
      </c>
      <c r="F82" s="298">
        <v>3.603503131369204E-2</v>
      </c>
      <c r="G82" s="298">
        <v>1.3414457398225953E-2</v>
      </c>
      <c r="H82" s="298">
        <v>1.3820648138552563E-2</v>
      </c>
      <c r="I82" s="298">
        <v>1.2553645285502412E-2</v>
      </c>
      <c r="J82" s="298">
        <v>1.1519216055600136E-2</v>
      </c>
      <c r="K82" s="298">
        <v>1.2482583619361326E-2</v>
      </c>
      <c r="L82" s="298">
        <v>1.0659586926913772E-2</v>
      </c>
      <c r="M82" s="298">
        <v>3.9990621565117561E-3</v>
      </c>
      <c r="N82" s="298">
        <v>4.289924599988241E-3</v>
      </c>
      <c r="O82" s="298">
        <v>2.3631359410929234E-3</v>
      </c>
      <c r="P82" s="298">
        <v>2.0372139828744758E-3</v>
      </c>
      <c r="Q82" s="298">
        <v>2.6099379219788315E-3</v>
      </c>
      <c r="R82" s="298">
        <v>3.3164014470484933E-3</v>
      </c>
      <c r="S82" s="298">
        <v>3.3164014470484933E-3</v>
      </c>
      <c r="T82" s="298">
        <v>3.3164014470484933E-3</v>
      </c>
      <c r="U82" s="298">
        <v>3.3164014470484933E-3</v>
      </c>
    </row>
    <row r="83" spans="1:21" ht="14.4" x14ac:dyDescent="0.3">
      <c r="A83" s="43">
        <v>21</v>
      </c>
      <c r="B83" s="43"/>
      <c r="C83" s="1"/>
      <c r="D83" s="298">
        <v>0.62329316321319206</v>
      </c>
      <c r="E83" s="298">
        <v>0.38652912360520963</v>
      </c>
      <c r="F83" s="298">
        <v>0.28848587809075404</v>
      </c>
      <c r="G83" s="298">
        <v>0.2327624797312611</v>
      </c>
      <c r="H83" s="298">
        <v>0.12695962714013889</v>
      </c>
      <c r="I83" s="298">
        <v>0.43156831387325317</v>
      </c>
      <c r="J83" s="298">
        <v>0.51232861946084751</v>
      </c>
      <c r="K83" s="298">
        <v>0.33639919482821595</v>
      </c>
      <c r="L83" s="298">
        <v>0.24976274080004948</v>
      </c>
      <c r="M83" s="298">
        <v>0.20143664947276263</v>
      </c>
      <c r="N83" s="298">
        <v>0.14886071320433725</v>
      </c>
      <c r="O83" s="298">
        <v>0.11057082122039739</v>
      </c>
      <c r="P83" s="298">
        <v>8.69095877563483E-2</v>
      </c>
      <c r="Q83" s="298">
        <v>6.469840401868561E-2</v>
      </c>
      <c r="R83" s="298">
        <v>6.207334554446476E-2</v>
      </c>
      <c r="S83" s="298">
        <v>6.207334554446476E-2</v>
      </c>
      <c r="T83" s="298">
        <v>6.207334554446476E-2</v>
      </c>
      <c r="U83" s="298">
        <v>6.207334554446476E-2</v>
      </c>
    </row>
    <row r="84" spans="1:21" ht="14.4" x14ac:dyDescent="0.3">
      <c r="A84" s="43">
        <v>22</v>
      </c>
      <c r="B84" s="43"/>
      <c r="C84" s="1"/>
      <c r="D84" s="298">
        <v>0.10196628651957353</v>
      </c>
      <c r="E84" s="298">
        <v>3.8702088424270906E-2</v>
      </c>
      <c r="F84" s="298">
        <v>3.2940823141321553E-2</v>
      </c>
      <c r="G84" s="298">
        <v>1.4397088226243407E-2</v>
      </c>
      <c r="H84" s="298">
        <v>8.0433131135157904E-3</v>
      </c>
      <c r="I84" s="298">
        <v>9.1411482785596215E-3</v>
      </c>
      <c r="J84" s="298">
        <v>1.3328297513609087E-2</v>
      </c>
      <c r="K84" s="298">
        <v>9.9334339431091864E-3</v>
      </c>
      <c r="L84" s="298">
        <v>8.7776949548354632E-3</v>
      </c>
      <c r="M84" s="298">
        <v>2.8422690440152187E-3</v>
      </c>
      <c r="N84" s="298">
        <v>1.7693174251628295E-3</v>
      </c>
      <c r="O84" s="298">
        <v>2.3683965026528521E-3</v>
      </c>
      <c r="P84" s="298">
        <v>2.2687748359132434E-3</v>
      </c>
      <c r="Q84" s="298">
        <v>3.2956893394252857E-3</v>
      </c>
      <c r="R84" s="298">
        <v>3.1845733198832878E-3</v>
      </c>
      <c r="S84" s="298">
        <v>3.1845733198832878E-3</v>
      </c>
      <c r="T84" s="298">
        <v>3.1845733198832878E-3</v>
      </c>
      <c r="U84" s="298">
        <v>3.1845733198832878E-3</v>
      </c>
    </row>
    <row r="85" spans="1:21" ht="14.4" x14ac:dyDescent="0.3">
      <c r="A85" s="43">
        <v>23</v>
      </c>
      <c r="B85" s="43"/>
      <c r="C85" s="1"/>
      <c r="D85" s="298">
        <v>14.111336248333169</v>
      </c>
      <c r="E85" s="298">
        <v>4.5502762773923147</v>
      </c>
      <c r="F85" s="298">
        <v>2.8173069900787024</v>
      </c>
      <c r="G85" s="298">
        <v>2.0670952688936821</v>
      </c>
      <c r="H85" s="298">
        <v>2.2928087910650583</v>
      </c>
      <c r="I85" s="298">
        <v>1.9472020944612196</v>
      </c>
      <c r="J85" s="298">
        <v>1.3645089433593613</v>
      </c>
      <c r="K85" s="298">
        <v>1.1709027163413299</v>
      </c>
      <c r="L85" s="298">
        <v>1.0449622436221531</v>
      </c>
      <c r="M85" s="298">
        <v>0.98668776275695924</v>
      </c>
      <c r="N85" s="298">
        <v>0.97151910927620677</v>
      </c>
      <c r="O85" s="298">
        <v>0.91499109629030073</v>
      </c>
      <c r="P85" s="298">
        <v>0.81941237005377587</v>
      </c>
      <c r="Q85" s="298">
        <v>0.64151011524075341</v>
      </c>
      <c r="R85" s="298">
        <v>0.64347399672352978</v>
      </c>
      <c r="S85" s="298">
        <v>0.64347399672352978</v>
      </c>
      <c r="T85" s="298">
        <v>0.64347399672352978</v>
      </c>
      <c r="U85" s="298">
        <v>0.64347399672352978</v>
      </c>
    </row>
    <row r="86" spans="1:21" ht="14.4" x14ac:dyDescent="0.3">
      <c r="A86" s="43">
        <v>24</v>
      </c>
      <c r="B86" s="43"/>
      <c r="C86" s="1"/>
      <c r="D86" s="298">
        <v>3.6824454901743818E-2</v>
      </c>
      <c r="E86" s="298">
        <v>9.8382681602157043E-3</v>
      </c>
      <c r="F86" s="298">
        <v>2.4869442257516557E-3</v>
      </c>
      <c r="G86" s="298">
        <v>3.7823320015961076E-3</v>
      </c>
      <c r="H86" s="298">
        <v>3.0035667733548503E-3</v>
      </c>
      <c r="I86" s="298">
        <v>5.3235417328994826E-3</v>
      </c>
      <c r="J86" s="298">
        <v>5.8116700278296428E-3</v>
      </c>
      <c r="K86" s="298">
        <v>2.9855222275943743E-3</v>
      </c>
      <c r="L86" s="298">
        <v>2.3272957918215429E-3</v>
      </c>
      <c r="M86" s="298">
        <v>3.1075268606800422E-3</v>
      </c>
      <c r="N86" s="298">
        <v>1.6642059470906843E-3</v>
      </c>
      <c r="O86" s="298">
        <v>5.0465814106315395E-4</v>
      </c>
      <c r="P86" s="298">
        <v>2.4652728971896356E-3</v>
      </c>
      <c r="Q86" s="298">
        <v>5.6815989694872823E-4</v>
      </c>
      <c r="R86" s="298">
        <v>2.910084521893625E-3</v>
      </c>
      <c r="S86" s="298">
        <v>2.910084521893625E-3</v>
      </c>
      <c r="T86" s="298">
        <v>2.910084521893625E-3</v>
      </c>
      <c r="U86" s="298">
        <v>2.910084521893625E-3</v>
      </c>
    </row>
    <row r="87" spans="1:21" ht="14.4" x14ac:dyDescent="0.3">
      <c r="A87" s="43">
        <v>25</v>
      </c>
      <c r="B87" s="43"/>
      <c r="C87" s="1"/>
      <c r="D87" s="298">
        <v>9.1460847189836905</v>
      </c>
      <c r="E87" s="298">
        <v>3.3287755929835949</v>
      </c>
      <c r="F87" s="298">
        <v>2.4769082641614584</v>
      </c>
      <c r="G87" s="298">
        <v>1.4065816239828657</v>
      </c>
      <c r="H87" s="298">
        <v>0.9812541545579192</v>
      </c>
      <c r="I87" s="298">
        <v>0.87516515937476913</v>
      </c>
      <c r="J87" s="298">
        <v>1.0203047520164361</v>
      </c>
      <c r="K87" s="298">
        <v>0.89181945133108653</v>
      </c>
      <c r="L87" s="298">
        <v>0.77335390981045959</v>
      </c>
      <c r="M87" s="298">
        <v>0.680943962179267</v>
      </c>
      <c r="N87" s="298">
        <v>0.60410783726699213</v>
      </c>
      <c r="O87" s="298">
        <v>0.59625159344747769</v>
      </c>
      <c r="P87" s="298">
        <v>0.57911197721694829</v>
      </c>
      <c r="Q87" s="298">
        <v>0.47588131924725879</v>
      </c>
      <c r="R87" s="298">
        <v>0.48332856078705327</v>
      </c>
      <c r="S87" s="298">
        <v>0.48332856078705327</v>
      </c>
      <c r="T87" s="298">
        <v>0.48332856078705327</v>
      </c>
      <c r="U87" s="298">
        <v>0.48332856078705327</v>
      </c>
    </row>
    <row r="88" spans="1:21" ht="14.4" x14ac:dyDescent="0.3">
      <c r="A88" s="43">
        <v>26</v>
      </c>
      <c r="B88" s="43"/>
      <c r="C88" s="1"/>
      <c r="D88" s="298">
        <v>5.0821504219815294E-2</v>
      </c>
      <c r="E88" s="298">
        <v>5.5062549483802257E-2</v>
      </c>
      <c r="F88" s="298">
        <v>2.6569838221547654E-2</v>
      </c>
      <c r="G88" s="298">
        <v>1.7180710354120391E-2</v>
      </c>
      <c r="H88" s="298">
        <v>1.4413765296386657E-2</v>
      </c>
      <c r="I88" s="298">
        <v>1.340051166752103E-2</v>
      </c>
      <c r="J88" s="298">
        <v>1.2261667576280695E-2</v>
      </c>
      <c r="K88" s="298">
        <v>1.1494261330574136E-2</v>
      </c>
      <c r="L88" s="298">
        <v>1.1502164549246671E-2</v>
      </c>
      <c r="M88" s="298">
        <v>6.3586835670058186E-3</v>
      </c>
      <c r="N88" s="298">
        <v>5.7283366829020497E-3</v>
      </c>
      <c r="O88" s="298">
        <v>1.4156391535011382E-3</v>
      </c>
      <c r="P88" s="298">
        <v>2.35923526977449E-3</v>
      </c>
      <c r="Q88" s="298">
        <v>3.048115692564884E-3</v>
      </c>
      <c r="R88" s="298">
        <v>2.505817916151253E-3</v>
      </c>
      <c r="S88" s="298">
        <v>2.505817916151253E-3</v>
      </c>
      <c r="T88" s="298">
        <v>2.505817916151253E-3</v>
      </c>
      <c r="U88" s="298">
        <v>2.505817916151253E-3</v>
      </c>
    </row>
    <row r="89" spans="1:21" ht="14.4" x14ac:dyDescent="0.3">
      <c r="A89" s="43">
        <v>27</v>
      </c>
      <c r="B89" s="43"/>
      <c r="C89" s="1"/>
      <c r="D89" s="298">
        <v>0.21238680360962095</v>
      </c>
      <c r="E89" s="298">
        <v>0.25707405179893289</v>
      </c>
      <c r="F89" s="298">
        <v>0.16073741316951387</v>
      </c>
      <c r="G89" s="298">
        <v>0.17380962651022741</v>
      </c>
      <c r="H89" s="298">
        <v>9.1193806224074303E-2</v>
      </c>
      <c r="I89" s="298">
        <v>0.33088372878460953</v>
      </c>
      <c r="J89" s="298">
        <v>0.40809218499146371</v>
      </c>
      <c r="K89" s="298">
        <v>0.28326195110267732</v>
      </c>
      <c r="L89" s="298">
        <v>0.20563582476045428</v>
      </c>
      <c r="M89" s="298">
        <v>0.15760505021576746</v>
      </c>
      <c r="N89" s="298">
        <v>9.9377043514666238E-2</v>
      </c>
      <c r="O89" s="298">
        <v>7.5391622206023953E-2</v>
      </c>
      <c r="P89" s="298">
        <v>6.8011485955306775E-2</v>
      </c>
      <c r="Q89" s="298">
        <v>5.56664765461901E-2</v>
      </c>
      <c r="R89" s="298">
        <v>5.3354821022066533E-2</v>
      </c>
      <c r="S89" s="298">
        <v>5.3354821022066533E-2</v>
      </c>
      <c r="T89" s="298">
        <v>5.3354821022066533E-2</v>
      </c>
      <c r="U89" s="298">
        <v>5.3354821022066533E-2</v>
      </c>
    </row>
    <row r="90" spans="1:21" ht="14.4" x14ac:dyDescent="0.3">
      <c r="A90" s="43">
        <v>28</v>
      </c>
      <c r="B90" s="43"/>
      <c r="C90" s="1"/>
      <c r="D90" s="298">
        <v>1.9392625777396737E-2</v>
      </c>
      <c r="E90" s="298">
        <v>4.7102518518670457E-2</v>
      </c>
      <c r="F90" s="298">
        <v>2.8971418661601897E-2</v>
      </c>
      <c r="G90" s="298">
        <v>1.1872541264805246E-2</v>
      </c>
      <c r="H90" s="298">
        <v>6.9611130983163278E-3</v>
      </c>
      <c r="I90" s="298">
        <v>8.5362681900183323E-3</v>
      </c>
      <c r="J90" s="298">
        <v>1.2556658041302614E-2</v>
      </c>
      <c r="K90" s="298">
        <v>1.0537656791068419E-2</v>
      </c>
      <c r="L90" s="298">
        <v>9.2930775732190107E-3</v>
      </c>
      <c r="M90" s="298">
        <v>3.3090135809581808E-3</v>
      </c>
      <c r="N90" s="298">
        <v>8.4429509332862738E-4</v>
      </c>
      <c r="O90" s="298">
        <v>1.7536756837702497E-3</v>
      </c>
      <c r="P90" s="298">
        <v>1.2486380283558422E-3</v>
      </c>
      <c r="Q90" s="298">
        <v>3.2293207653354824E-3</v>
      </c>
      <c r="R90" s="298">
        <v>2.7333925969108054E-3</v>
      </c>
      <c r="S90" s="298">
        <v>2.7333925969108054E-3</v>
      </c>
      <c r="T90" s="298">
        <v>2.7333925969108054E-3</v>
      </c>
      <c r="U90" s="298">
        <v>2.7333925969108054E-3</v>
      </c>
    </row>
    <row r="91" spans="1:21" ht="14.4" x14ac:dyDescent="0.3">
      <c r="A91" s="43">
        <v>29</v>
      </c>
      <c r="B91" s="43"/>
      <c r="C91" s="1"/>
      <c r="D91" s="298">
        <v>6.5146861253923207</v>
      </c>
      <c r="E91" s="298">
        <v>2.6788137999966111</v>
      </c>
      <c r="F91" s="298">
        <v>1.6106667515221753</v>
      </c>
      <c r="G91" s="298">
        <v>1.3975423047728013</v>
      </c>
      <c r="H91" s="298">
        <v>1.3999934630363924</v>
      </c>
      <c r="I91" s="298">
        <v>1.0907850218496227</v>
      </c>
      <c r="J91" s="298">
        <v>0.75870567381450926</v>
      </c>
      <c r="K91" s="298">
        <v>0.75678843679568575</v>
      </c>
      <c r="L91" s="298">
        <v>0.75575983296320848</v>
      </c>
      <c r="M91" s="298">
        <v>0.72478506133268517</v>
      </c>
      <c r="N91" s="298">
        <v>0.61840577400138186</v>
      </c>
      <c r="O91" s="298">
        <v>0.50578743449988961</v>
      </c>
      <c r="P91" s="298">
        <v>0.46727025134098182</v>
      </c>
      <c r="Q91" s="298">
        <v>0.45386743782930422</v>
      </c>
      <c r="R91" s="298">
        <v>0.4514293951690499</v>
      </c>
      <c r="S91" s="298">
        <v>0.4514293951690499</v>
      </c>
      <c r="T91" s="298">
        <v>0.4514293951690499</v>
      </c>
      <c r="U91" s="298">
        <v>0.4514293951690499</v>
      </c>
    </row>
    <row r="92" spans="1:21" ht="14.4" x14ac:dyDescent="0.3">
      <c r="A92" s="43">
        <v>30</v>
      </c>
      <c r="B92" s="43"/>
      <c r="C92" s="1"/>
      <c r="D92" s="298">
        <v>3.4884370898550648E-2</v>
      </c>
      <c r="E92" s="298">
        <v>4.1765772225850796E-3</v>
      </c>
      <c r="F92" s="298">
        <v>3.1945642193693534E-3</v>
      </c>
      <c r="G92" s="298">
        <v>3.60287707209932E-3</v>
      </c>
      <c r="H92" s="298">
        <v>3.2920300374340902E-3</v>
      </c>
      <c r="I92" s="298">
        <v>5.0314868423076246E-3</v>
      </c>
      <c r="J92" s="298">
        <v>4.6053075814346854E-3</v>
      </c>
      <c r="K92" s="298">
        <v>3.6991571943863818E-3</v>
      </c>
      <c r="L92" s="298">
        <v>1.9564019833816105E-3</v>
      </c>
      <c r="M92" s="298">
        <v>2.8717553777810353E-3</v>
      </c>
      <c r="N92" s="298">
        <v>2.6821760992090326E-3</v>
      </c>
      <c r="O92" s="298">
        <v>5.3985110846739104E-4</v>
      </c>
      <c r="P92" s="298">
        <v>8.6189772740157076E-4</v>
      </c>
      <c r="Q92" s="298">
        <v>7.0587971191137216E-4</v>
      </c>
      <c r="R92" s="298">
        <v>2.5967183728580682E-3</v>
      </c>
      <c r="S92" s="298">
        <v>2.5967183728580682E-3</v>
      </c>
      <c r="T92" s="298">
        <v>2.5967183728580682E-3</v>
      </c>
      <c r="U92" s="298">
        <v>2.5967183728580682E-3</v>
      </c>
    </row>
    <row r="93" spans="1:21" ht="14.4" x14ac:dyDescent="0.3">
      <c r="A93" s="43">
        <v>31</v>
      </c>
      <c r="B93" s="43"/>
      <c r="C93" s="1"/>
      <c r="D93" s="298">
        <v>6.3339107327432735</v>
      </c>
      <c r="E93" s="298">
        <v>2.4858685050570775</v>
      </c>
      <c r="F93" s="298">
        <v>1.4322222537619056</v>
      </c>
      <c r="G93" s="298">
        <v>0.82280279165842463</v>
      </c>
      <c r="H93" s="298">
        <v>0.68512353629472578</v>
      </c>
      <c r="I93" s="298">
        <v>0.58112005814292844</v>
      </c>
      <c r="J93" s="298">
        <v>0.56772740214173922</v>
      </c>
      <c r="K93" s="298">
        <v>0.46221863452787271</v>
      </c>
      <c r="L93" s="298">
        <v>0.42486576546865334</v>
      </c>
      <c r="M93" s="298">
        <v>0.43056874893088998</v>
      </c>
      <c r="N93" s="298">
        <v>0.43268010175951643</v>
      </c>
      <c r="O93" s="298">
        <v>0.37617527613812002</v>
      </c>
      <c r="P93" s="298">
        <v>0.31678577460681751</v>
      </c>
      <c r="Q93" s="298">
        <v>0.30877008317967913</v>
      </c>
      <c r="R93" s="298">
        <v>0.3120658886678041</v>
      </c>
      <c r="S93" s="298">
        <v>0.3120658886678041</v>
      </c>
      <c r="T93" s="298">
        <v>0.3120658886678041</v>
      </c>
      <c r="U93" s="298">
        <v>0.3120658886678041</v>
      </c>
    </row>
    <row r="94" spans="1:21" ht="14.4" x14ac:dyDescent="0.3">
      <c r="A94" s="43">
        <v>32</v>
      </c>
      <c r="B94" s="43"/>
      <c r="C94" s="1"/>
      <c r="D94" s="298">
        <v>4.6506205535545839E-2</v>
      </c>
      <c r="E94" s="298">
        <v>3.3260518350729629E-2</v>
      </c>
      <c r="F94" s="298">
        <v>2.9586195514357663E-2</v>
      </c>
      <c r="G94" s="298">
        <v>1.9535797704362808E-2</v>
      </c>
      <c r="H94" s="298">
        <v>1.4563606306652922E-2</v>
      </c>
      <c r="I94" s="298">
        <v>1.305927336868163E-2</v>
      </c>
      <c r="J94" s="298">
        <v>8.8970610246392086E-3</v>
      </c>
      <c r="K94" s="298">
        <v>1.1901375104307985E-2</v>
      </c>
      <c r="L94" s="298">
        <v>1.1921658515740853E-2</v>
      </c>
      <c r="M94" s="298">
        <v>5.9187663071225798E-3</v>
      </c>
      <c r="N94" s="298">
        <v>4.587462629749072E-3</v>
      </c>
      <c r="O94" s="298">
        <v>1.2699646308248702E-3</v>
      </c>
      <c r="P94" s="298">
        <v>2.2444292602197963E-3</v>
      </c>
      <c r="Q94" s="298">
        <v>2.8384966763810126E-3</v>
      </c>
      <c r="R94" s="298">
        <v>2.9287371239286731E-3</v>
      </c>
      <c r="S94" s="298">
        <v>2.9287371239286731E-3</v>
      </c>
      <c r="T94" s="298">
        <v>2.9287371239286731E-3</v>
      </c>
      <c r="U94" s="298">
        <v>2.9287371239286731E-3</v>
      </c>
    </row>
    <row r="95" spans="1:21" ht="14.4" x14ac:dyDescent="0.3">
      <c r="A95" s="43">
        <v>33</v>
      </c>
      <c r="B95" s="43"/>
      <c r="C95" s="1"/>
      <c r="D95" s="298">
        <v>0.30274927892914244</v>
      </c>
      <c r="E95" s="298">
        <v>1.7216657169820748E-2</v>
      </c>
      <c r="F95" s="298">
        <v>0.12233571605865014</v>
      </c>
      <c r="G95" s="298">
        <v>0.13605621192601108</v>
      </c>
      <c r="H95" s="298">
        <v>7.0763148414675126E-2</v>
      </c>
      <c r="I95" s="298">
        <v>0.26563628264177047</v>
      </c>
      <c r="J95" s="298">
        <v>0.34165566585023771</v>
      </c>
      <c r="K95" s="298">
        <v>0.22742267911109676</v>
      </c>
      <c r="L95" s="298">
        <v>0.15381673439332844</v>
      </c>
      <c r="M95" s="298">
        <v>0.11558930646976719</v>
      </c>
      <c r="N95" s="298">
        <v>8.4151409301761251E-2</v>
      </c>
      <c r="O95" s="298">
        <v>6.7503639523961864E-2</v>
      </c>
      <c r="P95" s="298">
        <v>5.6413371607669127E-2</v>
      </c>
      <c r="Q95" s="298">
        <v>4.1647697018963321E-2</v>
      </c>
      <c r="R95" s="298">
        <v>3.9799798597555773E-2</v>
      </c>
      <c r="S95" s="298">
        <v>3.9799798597555773E-2</v>
      </c>
      <c r="T95" s="298">
        <v>3.9799798597555773E-2</v>
      </c>
      <c r="U95" s="298">
        <v>3.9799798597555773E-2</v>
      </c>
    </row>
    <row r="96" spans="1:21" ht="14.4" x14ac:dyDescent="0.3">
      <c r="A96" s="43">
        <v>34</v>
      </c>
      <c r="B96" s="43"/>
      <c r="C96" s="1"/>
      <c r="D96" s="298">
        <v>0.15658261184107439</v>
      </c>
      <c r="E96" s="298">
        <v>6.9206297258360139E-2</v>
      </c>
      <c r="F96" s="298">
        <v>0.11719738000471913</v>
      </c>
      <c r="G96" s="298">
        <v>9.0950515996728487E-2</v>
      </c>
      <c r="H96" s="298">
        <v>5.6069430808107633E-2</v>
      </c>
      <c r="I96" s="298">
        <v>0.18457651004529252</v>
      </c>
      <c r="J96" s="298">
        <v>0.21861320828195963</v>
      </c>
      <c r="K96" s="298">
        <v>0.14805460867942424</v>
      </c>
      <c r="L96" s="298">
        <v>0.10865726471480185</v>
      </c>
      <c r="M96" s="298">
        <v>8.7921961526698345E-2</v>
      </c>
      <c r="N96" s="298">
        <v>5.8256465500538285E-2</v>
      </c>
      <c r="O96" s="298">
        <v>4.4253058727944716E-2</v>
      </c>
      <c r="P96" s="298">
        <v>3.9509788445304235E-2</v>
      </c>
      <c r="Q96" s="298">
        <v>2.9542651780987427E-2</v>
      </c>
      <c r="R96" s="298">
        <v>2.8071591122090556E-2</v>
      </c>
      <c r="S96" s="298">
        <v>2.8071591122090556E-2</v>
      </c>
      <c r="T96" s="298">
        <v>2.8071591122090556E-2</v>
      </c>
      <c r="U96" s="298">
        <v>2.8071591122090556E-2</v>
      </c>
    </row>
    <row r="97" spans="1:21" ht="14.4" x14ac:dyDescent="0.3">
      <c r="A97" s="43">
        <v>35</v>
      </c>
      <c r="B97" s="43"/>
      <c r="C97" s="1"/>
      <c r="D97" s="298">
        <v>5.9029852258662023</v>
      </c>
      <c r="E97" s="298">
        <v>1.4733260588243429</v>
      </c>
      <c r="F97" s="298">
        <v>1.2803616292235322</v>
      </c>
      <c r="G97" s="298">
        <v>1.0290257258239199</v>
      </c>
      <c r="H97" s="298">
        <v>0.95078684693100002</v>
      </c>
      <c r="I97" s="298">
        <v>0.68755518357204037</v>
      </c>
      <c r="J97" s="298">
        <v>0.51648077967213191</v>
      </c>
      <c r="K97" s="298">
        <v>0.5658478637815777</v>
      </c>
      <c r="L97" s="298">
        <v>0.55172205299175037</v>
      </c>
      <c r="M97" s="298">
        <v>0.48796466250698262</v>
      </c>
      <c r="N97" s="298">
        <v>0.39029335703643686</v>
      </c>
      <c r="O97" s="298">
        <v>0.36343466624775511</v>
      </c>
      <c r="P97" s="298">
        <v>0.35166631128246867</v>
      </c>
      <c r="Q97" s="298">
        <v>0.28545240285608292</v>
      </c>
      <c r="R97" s="298">
        <v>0.28281840150514814</v>
      </c>
      <c r="S97" s="298">
        <v>0.28281840150514814</v>
      </c>
      <c r="T97" s="298">
        <v>0.28281840150514814</v>
      </c>
      <c r="U97" s="298">
        <v>0.28281840150514814</v>
      </c>
    </row>
    <row r="98" spans="1:21" ht="14.4" x14ac:dyDescent="0.3">
      <c r="A98" s="43">
        <v>36</v>
      </c>
      <c r="B98" s="43"/>
      <c r="C98" s="1"/>
      <c r="D98" s="298">
        <v>0.15658261184107439</v>
      </c>
      <c r="E98" s="298">
        <v>6.9206297258360139E-2</v>
      </c>
      <c r="F98" s="298">
        <v>0.11719738000471913</v>
      </c>
      <c r="G98" s="298">
        <v>9.0950515996728487E-2</v>
      </c>
      <c r="H98" s="298">
        <v>5.6069430808107633E-2</v>
      </c>
      <c r="I98" s="298">
        <v>0.18457651004529252</v>
      </c>
      <c r="J98" s="298">
        <v>0.21861320828195963</v>
      </c>
      <c r="K98" s="298">
        <v>0.14805460867942424</v>
      </c>
      <c r="L98" s="298">
        <v>0.10865726471480185</v>
      </c>
      <c r="M98" s="298">
        <v>8.7921961526698345E-2</v>
      </c>
      <c r="N98" s="298">
        <v>5.8256465500538285E-2</v>
      </c>
      <c r="O98" s="298">
        <v>4.4253058727944716E-2</v>
      </c>
      <c r="P98" s="298">
        <v>3.9509788445304235E-2</v>
      </c>
      <c r="Q98" s="298">
        <v>2.9542651780987427E-2</v>
      </c>
      <c r="R98" s="298">
        <v>2.8071591122090556E-2</v>
      </c>
      <c r="S98" s="298">
        <v>2.8071591122090556E-2</v>
      </c>
      <c r="T98" s="298">
        <v>2.8071591122090556E-2</v>
      </c>
      <c r="U98" s="298">
        <v>2.8071591122090556E-2</v>
      </c>
    </row>
    <row r="99" spans="1:21" ht="14.4" x14ac:dyDescent="0.3">
      <c r="A99" s="43">
        <v>37</v>
      </c>
      <c r="B99" s="43"/>
      <c r="C99" s="1"/>
      <c r="D99" s="298">
        <v>4.7242605294817244</v>
      </c>
      <c r="E99" s="298">
        <v>1.4147795985274163</v>
      </c>
      <c r="F99" s="298">
        <v>0.86563302172429457</v>
      </c>
      <c r="G99" s="298">
        <v>0.58792408051231626</v>
      </c>
      <c r="H99" s="298">
        <v>0.44571284137714501</v>
      </c>
      <c r="I99" s="298">
        <v>0.35071388358174704</v>
      </c>
      <c r="J99" s="298">
        <v>0.34192356461046053</v>
      </c>
      <c r="K99" s="298">
        <v>0.32136315457507253</v>
      </c>
      <c r="L99" s="298">
        <v>0.32334277343163409</v>
      </c>
      <c r="M99" s="298">
        <v>0.31458122808120276</v>
      </c>
      <c r="N99" s="298">
        <v>0.26038899134139826</v>
      </c>
      <c r="O99" s="298">
        <v>0.23293659142238254</v>
      </c>
      <c r="P99" s="298">
        <v>0.23495243567481122</v>
      </c>
      <c r="Q99" s="298">
        <v>0.1983093021126322</v>
      </c>
      <c r="R99" s="298">
        <v>0.19995839901366486</v>
      </c>
      <c r="S99" s="298">
        <v>0.19995839901366486</v>
      </c>
      <c r="T99" s="298">
        <v>0.19995839901366486</v>
      </c>
      <c r="U99" s="298">
        <v>0.19995839901366486</v>
      </c>
    </row>
    <row r="100" spans="1:21" ht="14.4" x14ac:dyDescent="0.3">
      <c r="A100" s="43">
        <v>38</v>
      </c>
      <c r="B100" s="43"/>
      <c r="C100" s="1"/>
      <c r="D100" s="298">
        <v>0.15658261184107439</v>
      </c>
      <c r="E100" s="298">
        <v>6.9206297258360139E-2</v>
      </c>
      <c r="F100" s="298">
        <v>0.11719738000471913</v>
      </c>
      <c r="G100" s="298">
        <v>9.0950515996728487E-2</v>
      </c>
      <c r="H100" s="298">
        <v>5.6069430808107633E-2</v>
      </c>
      <c r="I100" s="298">
        <v>0.18457651004529252</v>
      </c>
      <c r="J100" s="298">
        <v>0.21861320828195963</v>
      </c>
      <c r="K100" s="298">
        <v>0.14805460867942424</v>
      </c>
      <c r="L100" s="298">
        <v>0.10865726471480185</v>
      </c>
      <c r="M100" s="298">
        <v>8.7921961526698345E-2</v>
      </c>
      <c r="N100" s="298">
        <v>5.8256465500538285E-2</v>
      </c>
      <c r="O100" s="298">
        <v>4.4253058727944716E-2</v>
      </c>
      <c r="P100" s="298">
        <v>3.9509788445304235E-2</v>
      </c>
      <c r="Q100" s="298">
        <v>2.9542651780987427E-2</v>
      </c>
      <c r="R100" s="298">
        <v>2.8071591122090556E-2</v>
      </c>
      <c r="S100" s="298">
        <v>2.8071591122090556E-2</v>
      </c>
      <c r="T100" s="298">
        <v>2.8071591122090556E-2</v>
      </c>
      <c r="U100" s="298">
        <v>2.8071591122090556E-2</v>
      </c>
    </row>
    <row r="101" spans="1:21" ht="14.4" x14ac:dyDescent="0.3">
      <c r="A101" s="43">
        <v>39</v>
      </c>
      <c r="B101" s="43"/>
      <c r="C101" s="1"/>
      <c r="D101" s="298">
        <v>0.2079850899943797</v>
      </c>
      <c r="E101" s="298">
        <v>0.13041647508011303</v>
      </c>
      <c r="F101" s="298">
        <v>0.12947509110634475</v>
      </c>
      <c r="G101" s="298">
        <v>0.11009404781577684</v>
      </c>
      <c r="H101" s="298">
        <v>6.014929527512837E-2</v>
      </c>
      <c r="I101" s="298">
        <v>0.21949671273146126</v>
      </c>
      <c r="J101" s="298">
        <v>0.27640701454444089</v>
      </c>
      <c r="K101" s="298">
        <v>0.17818419975534588</v>
      </c>
      <c r="L101" s="298">
        <v>0.12256174642203793</v>
      </c>
      <c r="M101" s="298">
        <v>9.8387203409769475E-2</v>
      </c>
      <c r="N101" s="298">
        <v>7.1958024598108364E-2</v>
      </c>
      <c r="O101" s="298">
        <v>5.1366620792552581E-2</v>
      </c>
      <c r="P101" s="298">
        <v>4.2850088405828553E-2</v>
      </c>
      <c r="Q101" s="298">
        <v>3.5922322150466021E-2</v>
      </c>
      <c r="R101" s="298">
        <v>3.4556391879303032E-2</v>
      </c>
      <c r="S101" s="298">
        <v>3.4556391879303032E-2</v>
      </c>
      <c r="T101" s="298">
        <v>3.4556391879303032E-2</v>
      </c>
      <c r="U101" s="298">
        <v>3.4556391879303032E-2</v>
      </c>
    </row>
    <row r="102" spans="1:21" ht="14.4" x14ac:dyDescent="0.3">
      <c r="A102" s="43">
        <v>40</v>
      </c>
      <c r="B102" s="43"/>
      <c r="C102" s="1"/>
      <c r="D102" s="298">
        <v>0.15658261184107439</v>
      </c>
      <c r="E102" s="298">
        <v>6.9206297258360139E-2</v>
      </c>
      <c r="F102" s="298">
        <v>0.11719738000471913</v>
      </c>
      <c r="G102" s="298">
        <v>9.0950515996728487E-2</v>
      </c>
      <c r="H102" s="298">
        <v>5.6069430808107633E-2</v>
      </c>
      <c r="I102" s="298">
        <v>0.18457651004529252</v>
      </c>
      <c r="J102" s="298">
        <v>0.21861320828195963</v>
      </c>
      <c r="K102" s="298">
        <v>0.14805460867942424</v>
      </c>
      <c r="L102" s="298">
        <v>0.10865726471480185</v>
      </c>
      <c r="M102" s="298">
        <v>8.7921961526698345E-2</v>
      </c>
      <c r="N102" s="298">
        <v>5.8256465500538285E-2</v>
      </c>
      <c r="O102" s="298">
        <v>4.4253058727944716E-2</v>
      </c>
      <c r="P102" s="298">
        <v>3.9509788445304235E-2</v>
      </c>
      <c r="Q102" s="298">
        <v>2.9542651780987427E-2</v>
      </c>
      <c r="R102" s="298">
        <v>2.8071591122090556E-2</v>
      </c>
      <c r="S102" s="298">
        <v>2.8071591122090556E-2</v>
      </c>
      <c r="T102" s="298">
        <v>2.8071591122090556E-2</v>
      </c>
      <c r="U102" s="298">
        <v>2.8071591122090556E-2</v>
      </c>
    </row>
    <row r="103" spans="1:21" ht="14.4" x14ac:dyDescent="0.3">
      <c r="A103" s="43">
        <v>41</v>
      </c>
      <c r="B103" s="43"/>
      <c r="C103" s="1"/>
      <c r="D103" s="298">
        <v>2.9593523720748518</v>
      </c>
      <c r="E103" s="298">
        <v>1.3960448536050045</v>
      </c>
      <c r="F103" s="298">
        <v>0.9788469484846104</v>
      </c>
      <c r="G103" s="298">
        <v>0.76626902234982497</v>
      </c>
      <c r="H103" s="298">
        <v>0.64986432358583057</v>
      </c>
      <c r="I103" s="298">
        <v>0.49479101470748305</v>
      </c>
      <c r="J103" s="298">
        <v>0.39951328972932304</v>
      </c>
      <c r="K103" s="298">
        <v>0.41594580564321404</v>
      </c>
      <c r="L103" s="298">
        <v>0.37579029347140652</v>
      </c>
      <c r="M103" s="298">
        <v>0.32440122806902955</v>
      </c>
      <c r="N103" s="298">
        <v>0.30529874652047795</v>
      </c>
      <c r="O103" s="298">
        <v>0.272856325769609</v>
      </c>
      <c r="P103" s="298">
        <v>0.23528249165808171</v>
      </c>
      <c r="Q103" s="298">
        <v>0.21930268062364178</v>
      </c>
      <c r="R103" s="298">
        <v>0.21942223358685053</v>
      </c>
      <c r="S103" s="298">
        <v>0.21942223358685053</v>
      </c>
      <c r="T103" s="298">
        <v>0.21942223358685053</v>
      </c>
      <c r="U103" s="298">
        <v>0.21942223358685053</v>
      </c>
    </row>
    <row r="104" spans="1:21" ht="14.4" x14ac:dyDescent="0.3">
      <c r="A104" s="43">
        <v>42</v>
      </c>
      <c r="B104" s="43"/>
      <c r="C104" s="1"/>
      <c r="D104" s="298">
        <v>0.15658261184107439</v>
      </c>
      <c r="E104" s="298">
        <v>6.9206297258360139E-2</v>
      </c>
      <c r="F104" s="298">
        <v>0.11719738000471913</v>
      </c>
      <c r="G104" s="298">
        <v>9.0950515996728487E-2</v>
      </c>
      <c r="H104" s="298">
        <v>5.6069430808107633E-2</v>
      </c>
      <c r="I104" s="298">
        <v>0.18457651004529252</v>
      </c>
      <c r="J104" s="298">
        <v>0.21861320828195963</v>
      </c>
      <c r="K104" s="298">
        <v>0.14805460867942424</v>
      </c>
      <c r="L104" s="298">
        <v>0.10865726471480185</v>
      </c>
      <c r="M104" s="298">
        <v>8.7921961526698345E-2</v>
      </c>
      <c r="N104" s="298">
        <v>5.8256465500538285E-2</v>
      </c>
      <c r="O104" s="298">
        <v>4.4253058727944716E-2</v>
      </c>
      <c r="P104" s="298">
        <v>3.9509788445304235E-2</v>
      </c>
      <c r="Q104" s="298">
        <v>2.9542651780987427E-2</v>
      </c>
      <c r="R104" s="298">
        <v>2.8071591122090556E-2</v>
      </c>
      <c r="S104" s="298">
        <v>2.8071591122090556E-2</v>
      </c>
      <c r="T104" s="298">
        <v>2.8071591122090556E-2</v>
      </c>
      <c r="U104" s="298">
        <v>2.8071591122090556E-2</v>
      </c>
    </row>
    <row r="105" spans="1:21" ht="14.4" x14ac:dyDescent="0.3">
      <c r="A105" s="43">
        <v>43</v>
      </c>
      <c r="B105" s="43"/>
      <c r="C105" s="1"/>
      <c r="D105" s="298">
        <v>2.2178560512821952</v>
      </c>
      <c r="E105" s="298">
        <v>1.1905972320783262</v>
      </c>
      <c r="F105" s="298">
        <v>0.75615175660327605</v>
      </c>
      <c r="G105" s="298">
        <v>0.45362551647456517</v>
      </c>
      <c r="H105" s="298">
        <v>0.28528173727691464</v>
      </c>
      <c r="I105" s="298">
        <v>0.21779752656057286</v>
      </c>
      <c r="J105" s="298">
        <v>0.25538951981730396</v>
      </c>
      <c r="K105" s="298">
        <v>0.24818871965708805</v>
      </c>
      <c r="L105" s="298">
        <v>0.22308863199724832</v>
      </c>
      <c r="M105" s="298">
        <v>0.19779080449305989</v>
      </c>
      <c r="N105" s="298">
        <v>0.1877023014843526</v>
      </c>
      <c r="O105" s="298">
        <v>0.18024721970812474</v>
      </c>
      <c r="P105" s="298">
        <v>0.14969356494618877</v>
      </c>
      <c r="Q105" s="298">
        <v>0.15402172112964774</v>
      </c>
      <c r="R105" s="298">
        <v>0.14788153997371078</v>
      </c>
      <c r="S105" s="298">
        <v>0.14788153997371078</v>
      </c>
      <c r="T105" s="298">
        <v>0.14788153997371078</v>
      </c>
      <c r="U105" s="298">
        <v>0.14788153997371078</v>
      </c>
    </row>
    <row r="106" spans="1:21" ht="14.4" x14ac:dyDescent="0.3">
      <c r="A106" s="43">
        <v>44</v>
      </c>
      <c r="B106" s="43"/>
      <c r="C106" s="1"/>
      <c r="D106" s="298">
        <v>0.15658261184107439</v>
      </c>
      <c r="E106" s="298">
        <v>6.9206297258360139E-2</v>
      </c>
      <c r="F106" s="298">
        <v>0.11719738000471913</v>
      </c>
      <c r="G106" s="298">
        <v>9.0950515996728487E-2</v>
      </c>
      <c r="H106" s="298">
        <v>5.6069430808107633E-2</v>
      </c>
      <c r="I106" s="298">
        <v>0.18457651004529252</v>
      </c>
      <c r="J106" s="298">
        <v>0.21861320828195963</v>
      </c>
      <c r="K106" s="298">
        <v>0.14805460867942424</v>
      </c>
      <c r="L106" s="298">
        <v>0.10865726471480185</v>
      </c>
      <c r="M106" s="298">
        <v>8.7921961526698345E-2</v>
      </c>
      <c r="N106" s="298">
        <v>5.8256465500538285E-2</v>
      </c>
      <c r="O106" s="298">
        <v>4.4253058727944716E-2</v>
      </c>
      <c r="P106" s="298">
        <v>3.9509788445304235E-2</v>
      </c>
      <c r="Q106" s="298">
        <v>2.9542651780987427E-2</v>
      </c>
      <c r="R106" s="298">
        <v>2.8071591122090556E-2</v>
      </c>
      <c r="S106" s="298">
        <v>2.8071591122090556E-2</v>
      </c>
      <c r="T106" s="298">
        <v>2.8071591122090556E-2</v>
      </c>
      <c r="U106" s="298">
        <v>2.8071591122090556E-2</v>
      </c>
    </row>
    <row r="107" spans="1:21" ht="14.4" x14ac:dyDescent="0.3">
      <c r="A107" s="43">
        <v>45</v>
      </c>
      <c r="B107" s="43"/>
      <c r="C107" s="1"/>
      <c r="D107" s="298">
        <v>0.15674381381219379</v>
      </c>
      <c r="E107" s="298">
        <v>6.9135515452953725E-2</v>
      </c>
      <c r="F107" s="298">
        <v>0.11721931861181524</v>
      </c>
      <c r="G107" s="298">
        <v>9.0976276916425139E-2</v>
      </c>
      <c r="H107" s="298">
        <v>5.5974795488511517E-2</v>
      </c>
      <c r="I107" s="298">
        <v>0.18455139999068912</v>
      </c>
      <c r="J107" s="298">
        <v>0.21866515563030009</v>
      </c>
      <c r="K107" s="298">
        <v>0.14808361462956454</v>
      </c>
      <c r="L107" s="298">
        <v>0.10867252849450271</v>
      </c>
      <c r="M107" s="298">
        <v>8.7932880027034033E-2</v>
      </c>
      <c r="N107" s="298">
        <v>5.8261619608528936E-2</v>
      </c>
      <c r="O107" s="298">
        <v>4.4254803859095013E-2</v>
      </c>
      <c r="P107" s="298">
        <v>3.9511622355493263E-2</v>
      </c>
      <c r="Q107" s="298">
        <v>2.9543012509050892E-2</v>
      </c>
      <c r="R107" s="298">
        <v>2.8071590865564936E-2</v>
      </c>
      <c r="S107" s="298">
        <v>2.8071590865564936E-2</v>
      </c>
      <c r="T107" s="298">
        <v>2.8071590865564936E-2</v>
      </c>
      <c r="U107" s="298">
        <v>2.8071590865564936E-2</v>
      </c>
    </row>
    <row r="108" spans="1:21" ht="14.4" x14ac:dyDescent="0.3">
      <c r="A108" s="43">
        <v>46</v>
      </c>
      <c r="B108" s="43"/>
      <c r="C108" s="1"/>
      <c r="D108" s="298">
        <v>0.15658261184107439</v>
      </c>
      <c r="E108" s="298">
        <v>6.9206297258360139E-2</v>
      </c>
      <c r="F108" s="298">
        <v>0.11719738000471913</v>
      </c>
      <c r="G108" s="298">
        <v>9.0950515996728487E-2</v>
      </c>
      <c r="H108" s="298">
        <v>5.6069430808107633E-2</v>
      </c>
      <c r="I108" s="298">
        <v>0.18457651004529252</v>
      </c>
      <c r="J108" s="298">
        <v>0.21861320828195963</v>
      </c>
      <c r="K108" s="298">
        <v>0.14805460867942424</v>
      </c>
      <c r="L108" s="298">
        <v>0.10865726471480185</v>
      </c>
      <c r="M108" s="298">
        <v>8.7921961526698345E-2</v>
      </c>
      <c r="N108" s="298">
        <v>5.8256465500538285E-2</v>
      </c>
      <c r="O108" s="298">
        <v>4.4253058727944716E-2</v>
      </c>
      <c r="P108" s="298">
        <v>3.9509788445304235E-2</v>
      </c>
      <c r="Q108" s="298">
        <v>2.9542651780987427E-2</v>
      </c>
      <c r="R108" s="298">
        <v>2.8071591122090556E-2</v>
      </c>
      <c r="S108" s="298">
        <v>2.8071591122090556E-2</v>
      </c>
      <c r="T108" s="298">
        <v>2.8071591122090556E-2</v>
      </c>
      <c r="U108" s="298">
        <v>2.8071591122090556E-2</v>
      </c>
    </row>
    <row r="109" spans="1:21" ht="14.4" x14ac:dyDescent="0.3">
      <c r="A109" s="43">
        <v>47</v>
      </c>
      <c r="B109" s="43"/>
      <c r="C109" s="1"/>
      <c r="D109" s="298">
        <v>2.3268630691236321</v>
      </c>
      <c r="E109" s="298">
        <v>0.78641478977548207</v>
      </c>
      <c r="F109" s="298">
        <v>0.65683719239534155</v>
      </c>
      <c r="G109" s="298">
        <v>0.58143321676267457</v>
      </c>
      <c r="H109" s="298">
        <v>0.44928960665019158</v>
      </c>
      <c r="I109" s="298">
        <v>0.41294151992551731</v>
      </c>
      <c r="J109" s="298">
        <v>0.2940568330031525</v>
      </c>
      <c r="K109" s="298">
        <v>0.2786885915405366</v>
      </c>
      <c r="L109" s="298">
        <v>0.26697263616116279</v>
      </c>
      <c r="M109" s="298">
        <v>0.26064585390490097</v>
      </c>
      <c r="N109" s="298">
        <v>0.2367936036530196</v>
      </c>
      <c r="O109" s="298">
        <v>0.19038468562778788</v>
      </c>
      <c r="P109" s="298">
        <v>0.18456070692514012</v>
      </c>
      <c r="Q109" s="298">
        <v>0.16108516476637483</v>
      </c>
      <c r="R109" s="298">
        <v>0.15522073313539117</v>
      </c>
      <c r="S109" s="298">
        <v>0.15522073313539117</v>
      </c>
      <c r="T109" s="298">
        <v>0.15522073313539117</v>
      </c>
      <c r="U109" s="298">
        <v>0.15522073313539117</v>
      </c>
    </row>
    <row r="110" spans="1:21" ht="14.4" x14ac:dyDescent="0.3">
      <c r="A110" s="43">
        <v>48</v>
      </c>
      <c r="B110" s="43"/>
      <c r="C110" s="1"/>
      <c r="D110" s="298">
        <v>0.15658261184107439</v>
      </c>
      <c r="E110" s="298">
        <v>6.9206297258360139E-2</v>
      </c>
      <c r="F110" s="298">
        <v>0.11719738000471913</v>
      </c>
      <c r="G110" s="298">
        <v>9.0950515996728487E-2</v>
      </c>
      <c r="H110" s="298">
        <v>5.6069430808107633E-2</v>
      </c>
      <c r="I110" s="298">
        <v>0.18457651004529252</v>
      </c>
      <c r="J110" s="298">
        <v>0.21861320828195963</v>
      </c>
      <c r="K110" s="298">
        <v>0.14805460867942424</v>
      </c>
      <c r="L110" s="298">
        <v>0.10865726471480185</v>
      </c>
      <c r="M110" s="298">
        <v>8.7921961526698345E-2</v>
      </c>
      <c r="N110" s="298">
        <v>5.8256465500538285E-2</v>
      </c>
      <c r="O110" s="298">
        <v>4.4253058727944716E-2</v>
      </c>
      <c r="P110" s="298">
        <v>3.9509788445304235E-2</v>
      </c>
      <c r="Q110" s="298">
        <v>2.9542651780987427E-2</v>
      </c>
      <c r="R110" s="298">
        <v>2.8071591122090556E-2</v>
      </c>
      <c r="S110" s="298">
        <v>2.8071591122090556E-2</v>
      </c>
      <c r="T110" s="298">
        <v>2.8071591122090556E-2</v>
      </c>
      <c r="U110" s="298">
        <v>2.8071591122090556E-2</v>
      </c>
    </row>
    <row r="111" spans="1:21" ht="14.4" x14ac:dyDescent="0.3">
      <c r="A111" s="43">
        <v>49</v>
      </c>
      <c r="B111" s="43"/>
      <c r="C111" s="1"/>
      <c r="D111" s="298">
        <v>2.222090686942058</v>
      </c>
      <c r="E111" s="298">
        <v>0.8231320290067401</v>
      </c>
      <c r="F111" s="298">
        <v>0.54372728367538525</v>
      </c>
      <c r="G111" s="298">
        <v>0.33388586731319231</v>
      </c>
      <c r="H111" s="298">
        <v>0.20472977887589594</v>
      </c>
      <c r="I111" s="298">
        <v>0.16067909526322774</v>
      </c>
      <c r="J111" s="298">
        <v>0.19635848943192444</v>
      </c>
      <c r="K111" s="298">
        <v>0.18022284651166184</v>
      </c>
      <c r="L111" s="298">
        <v>0.15241194609444156</v>
      </c>
      <c r="M111" s="298">
        <v>0.14568078669873447</v>
      </c>
      <c r="N111" s="298">
        <v>0.14316623416465049</v>
      </c>
      <c r="O111" s="298">
        <v>0.11820986355275069</v>
      </c>
      <c r="P111" s="298">
        <v>0.11324661442841535</v>
      </c>
      <c r="Q111" s="298">
        <v>0.10591950094820782</v>
      </c>
      <c r="R111" s="298">
        <v>0.10181373046970461</v>
      </c>
      <c r="S111" s="298">
        <v>0.10181373046970461</v>
      </c>
      <c r="T111" s="298">
        <v>0.10181373046970461</v>
      </c>
      <c r="U111" s="298">
        <v>0.10181373046970461</v>
      </c>
    </row>
    <row r="112" spans="1:21" ht="14.4" x14ac:dyDescent="0.3">
      <c r="A112" s="43">
        <v>50</v>
      </c>
      <c r="B112" s="43"/>
      <c r="C112" s="1"/>
      <c r="D112" s="298">
        <v>0.15658261184107439</v>
      </c>
      <c r="E112" s="298">
        <v>6.9206297258360139E-2</v>
      </c>
      <c r="F112" s="298">
        <v>0.11719738000471913</v>
      </c>
      <c r="G112" s="298">
        <v>9.0950515996728487E-2</v>
      </c>
      <c r="H112" s="298">
        <v>5.6069430808107633E-2</v>
      </c>
      <c r="I112" s="298">
        <v>0.18457651004529252</v>
      </c>
      <c r="J112" s="298">
        <v>0.21861320828195963</v>
      </c>
      <c r="K112" s="298">
        <v>0.14805460867942424</v>
      </c>
      <c r="L112" s="298">
        <v>0.10865726471480185</v>
      </c>
      <c r="M112" s="298">
        <v>8.7921961526698345E-2</v>
      </c>
      <c r="N112" s="298">
        <v>5.8256465500538285E-2</v>
      </c>
      <c r="O112" s="298">
        <v>4.4253058727944716E-2</v>
      </c>
      <c r="P112" s="298">
        <v>3.9509788445304235E-2</v>
      </c>
      <c r="Q112" s="298">
        <v>2.9542651780987427E-2</v>
      </c>
      <c r="R112" s="298">
        <v>2.8071591122090556E-2</v>
      </c>
      <c r="S112" s="298">
        <v>2.8071591122090556E-2</v>
      </c>
      <c r="T112" s="298">
        <v>2.8071591122090556E-2</v>
      </c>
      <c r="U112" s="298">
        <v>2.8071591122090556E-2</v>
      </c>
    </row>
    <row r="113" spans="2:21" x14ac:dyDescent="0.25">
      <c r="D113" s="51"/>
      <c r="E113" s="32"/>
      <c r="F113" s="32"/>
      <c r="G113" s="32"/>
      <c r="H113" s="32"/>
      <c r="I113" s="32"/>
      <c r="J113" s="32"/>
      <c r="K113" s="32"/>
    </row>
    <row r="114" spans="2:21" x14ac:dyDescent="0.25">
      <c r="B114" s="26" t="s">
        <v>5</v>
      </c>
      <c r="D114" s="32">
        <f t="shared" ref="D114:U114" si="7">SQRT(SUMSQ(D64:D112))</f>
        <v>163.93774717643851</v>
      </c>
      <c r="E114" s="32">
        <f t="shared" si="7"/>
        <v>113.48802501155089</v>
      </c>
      <c r="F114" s="32">
        <f t="shared" si="7"/>
        <v>92.201479834948017</v>
      </c>
      <c r="G114" s="32">
        <f t="shared" si="7"/>
        <v>70.914070764570482</v>
      </c>
      <c r="H114" s="32">
        <f t="shared" si="7"/>
        <v>54.750054571794223</v>
      </c>
      <c r="I114" s="32">
        <f t="shared" si="7"/>
        <v>45.409107972180678</v>
      </c>
      <c r="J114" s="32">
        <f t="shared" si="7"/>
        <v>40.452846599409661</v>
      </c>
      <c r="K114" s="32">
        <f t="shared" si="7"/>
        <v>36.567604373048553</v>
      </c>
      <c r="L114" s="32">
        <f t="shared" si="7"/>
        <v>33.722497172696237</v>
      </c>
      <c r="M114" s="32">
        <f t="shared" si="7"/>
        <v>31.537820676686238</v>
      </c>
      <c r="N114" s="32">
        <f t="shared" si="7"/>
        <v>28.353599859458789</v>
      </c>
      <c r="O114" s="32">
        <f t="shared" si="7"/>
        <v>26.003967172553079</v>
      </c>
      <c r="P114" s="32">
        <f t="shared" si="7"/>
        <v>24.160245237926446</v>
      </c>
      <c r="Q114" s="32">
        <f t="shared" si="7"/>
        <v>21.249690073067327</v>
      </c>
      <c r="R114" s="32">
        <f t="shared" si="7"/>
        <v>21.247242746791578</v>
      </c>
      <c r="S114" s="32">
        <f t="shared" si="7"/>
        <v>21.247242746791578</v>
      </c>
      <c r="T114" s="32">
        <f t="shared" si="7"/>
        <v>21.247242746791578</v>
      </c>
      <c r="U114" s="32">
        <f t="shared" si="7"/>
        <v>21.247242746791578</v>
      </c>
    </row>
    <row r="116" spans="2:21" x14ac:dyDescent="0.25">
      <c r="D116" s="32"/>
      <c r="E116" s="32"/>
      <c r="F116" s="32"/>
      <c r="G116" s="32"/>
      <c r="H116" s="32"/>
      <c r="I116" s="32"/>
    </row>
    <row r="118" spans="2:21" x14ac:dyDescent="0.25">
      <c r="D118" s="32"/>
      <c r="E118" s="32"/>
      <c r="F118" s="32"/>
      <c r="G118" s="32"/>
      <c r="H118" s="32"/>
      <c r="I118" s="32"/>
    </row>
  </sheetData>
  <pageMargins left="0.75" right="0.75" top="1" bottom="1" header="0.5" footer="0.5"/>
  <pageSetup scale="50" fitToHeight="2" orientation="portrait" r:id="rId1"/>
  <headerFooter alignWithMargins="0">
    <oddHeader>&amp;R&amp;D
&amp;T
rh</oddHeader>
    <oddFooter>&amp;L&amp;F
&amp;A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U118"/>
  <sheetViews>
    <sheetView workbookViewId="0">
      <selection activeCell="H4" sqref="H4:H53"/>
    </sheetView>
  </sheetViews>
  <sheetFormatPr defaultRowHeight="13.2" x14ac:dyDescent="0.25"/>
  <cols>
    <col min="1" max="1" width="9.109375" style="31"/>
    <col min="2" max="6" width="9.109375" style="26"/>
    <col min="7" max="7" width="9.109375" style="26" customWidth="1"/>
    <col min="8" max="8" width="10.6640625" style="26" customWidth="1"/>
    <col min="9" max="262" width="9.109375" style="26"/>
    <col min="263" max="263" width="9.5546875" style="26" bestFit="1" customWidth="1"/>
    <col min="264" max="264" width="10.6640625" style="26" customWidth="1"/>
    <col min="265" max="518" width="9.109375" style="26"/>
    <col min="519" max="519" width="9.5546875" style="26" bestFit="1" customWidth="1"/>
    <col min="520" max="520" width="10.6640625" style="26" customWidth="1"/>
    <col min="521" max="774" width="9.109375" style="26"/>
    <col min="775" max="775" width="9.5546875" style="26" bestFit="1" customWidth="1"/>
    <col min="776" max="776" width="10.6640625" style="26" customWidth="1"/>
    <col min="777" max="1030" width="9.109375" style="26"/>
    <col min="1031" max="1031" width="9.5546875" style="26" bestFit="1" customWidth="1"/>
    <col min="1032" max="1032" width="10.6640625" style="26" customWidth="1"/>
    <col min="1033" max="1286" width="9.109375" style="26"/>
    <col min="1287" max="1287" width="9.5546875" style="26" bestFit="1" customWidth="1"/>
    <col min="1288" max="1288" width="10.6640625" style="26" customWidth="1"/>
    <col min="1289" max="1542" width="9.109375" style="26"/>
    <col min="1543" max="1543" width="9.5546875" style="26" bestFit="1" customWidth="1"/>
    <col min="1544" max="1544" width="10.6640625" style="26" customWidth="1"/>
    <col min="1545" max="1798" width="9.109375" style="26"/>
    <col min="1799" max="1799" width="9.5546875" style="26" bestFit="1" customWidth="1"/>
    <col min="1800" max="1800" width="10.6640625" style="26" customWidth="1"/>
    <col min="1801" max="2054" width="9.109375" style="26"/>
    <col min="2055" max="2055" width="9.5546875" style="26" bestFit="1" customWidth="1"/>
    <col min="2056" max="2056" width="10.6640625" style="26" customWidth="1"/>
    <col min="2057" max="2310" width="9.109375" style="26"/>
    <col min="2311" max="2311" width="9.5546875" style="26" bestFit="1" customWidth="1"/>
    <col min="2312" max="2312" width="10.6640625" style="26" customWidth="1"/>
    <col min="2313" max="2566" width="9.109375" style="26"/>
    <col min="2567" max="2567" width="9.5546875" style="26" bestFit="1" customWidth="1"/>
    <col min="2568" max="2568" width="10.6640625" style="26" customWidth="1"/>
    <col min="2569" max="2822" width="9.109375" style="26"/>
    <col min="2823" max="2823" width="9.5546875" style="26" bestFit="1" customWidth="1"/>
    <col min="2824" max="2824" width="10.6640625" style="26" customWidth="1"/>
    <col min="2825" max="3078" width="9.109375" style="26"/>
    <col min="3079" max="3079" width="9.5546875" style="26" bestFit="1" customWidth="1"/>
    <col min="3080" max="3080" width="10.6640625" style="26" customWidth="1"/>
    <col min="3081" max="3334" width="9.109375" style="26"/>
    <col min="3335" max="3335" width="9.5546875" style="26" bestFit="1" customWidth="1"/>
    <col min="3336" max="3336" width="10.6640625" style="26" customWidth="1"/>
    <col min="3337" max="3590" width="9.109375" style="26"/>
    <col min="3591" max="3591" width="9.5546875" style="26" bestFit="1" customWidth="1"/>
    <col min="3592" max="3592" width="10.6640625" style="26" customWidth="1"/>
    <col min="3593" max="3846" width="9.109375" style="26"/>
    <col min="3847" max="3847" width="9.5546875" style="26" bestFit="1" customWidth="1"/>
    <col min="3848" max="3848" width="10.6640625" style="26" customWidth="1"/>
    <col min="3849" max="4102" width="9.109375" style="26"/>
    <col min="4103" max="4103" width="9.5546875" style="26" bestFit="1" customWidth="1"/>
    <col min="4104" max="4104" width="10.6640625" style="26" customWidth="1"/>
    <col min="4105" max="4358" width="9.109375" style="26"/>
    <col min="4359" max="4359" width="9.5546875" style="26" bestFit="1" customWidth="1"/>
    <col min="4360" max="4360" width="10.6640625" style="26" customWidth="1"/>
    <col min="4361" max="4614" width="9.109375" style="26"/>
    <col min="4615" max="4615" width="9.5546875" style="26" bestFit="1" customWidth="1"/>
    <col min="4616" max="4616" width="10.6640625" style="26" customWidth="1"/>
    <col min="4617" max="4870" width="9.109375" style="26"/>
    <col min="4871" max="4871" width="9.5546875" style="26" bestFit="1" customWidth="1"/>
    <col min="4872" max="4872" width="10.6640625" style="26" customWidth="1"/>
    <col min="4873" max="5126" width="9.109375" style="26"/>
    <col min="5127" max="5127" width="9.5546875" style="26" bestFit="1" customWidth="1"/>
    <col min="5128" max="5128" width="10.6640625" style="26" customWidth="1"/>
    <col min="5129" max="5382" width="9.109375" style="26"/>
    <col min="5383" max="5383" width="9.5546875" style="26" bestFit="1" customWidth="1"/>
    <col min="5384" max="5384" width="10.6640625" style="26" customWidth="1"/>
    <col min="5385" max="5638" width="9.109375" style="26"/>
    <col min="5639" max="5639" width="9.5546875" style="26" bestFit="1" customWidth="1"/>
    <col min="5640" max="5640" width="10.6640625" style="26" customWidth="1"/>
    <col min="5641" max="5894" width="9.109375" style="26"/>
    <col min="5895" max="5895" width="9.5546875" style="26" bestFit="1" customWidth="1"/>
    <col min="5896" max="5896" width="10.6640625" style="26" customWidth="1"/>
    <col min="5897" max="6150" width="9.109375" style="26"/>
    <col min="6151" max="6151" width="9.5546875" style="26" bestFit="1" customWidth="1"/>
    <col min="6152" max="6152" width="10.6640625" style="26" customWidth="1"/>
    <col min="6153" max="6406" width="9.109375" style="26"/>
    <col min="6407" max="6407" width="9.5546875" style="26" bestFit="1" customWidth="1"/>
    <col min="6408" max="6408" width="10.6640625" style="26" customWidth="1"/>
    <col min="6409" max="6662" width="9.109375" style="26"/>
    <col min="6663" max="6663" width="9.5546875" style="26" bestFit="1" customWidth="1"/>
    <col min="6664" max="6664" width="10.6640625" style="26" customWidth="1"/>
    <col min="6665" max="6918" width="9.109375" style="26"/>
    <col min="6919" max="6919" width="9.5546875" style="26" bestFit="1" customWidth="1"/>
    <col min="6920" max="6920" width="10.6640625" style="26" customWidth="1"/>
    <col min="6921" max="7174" width="9.109375" style="26"/>
    <col min="7175" max="7175" width="9.5546875" style="26" bestFit="1" customWidth="1"/>
    <col min="7176" max="7176" width="10.6640625" style="26" customWidth="1"/>
    <col min="7177" max="7430" width="9.109375" style="26"/>
    <col min="7431" max="7431" width="9.5546875" style="26" bestFit="1" customWidth="1"/>
    <col min="7432" max="7432" width="10.6640625" style="26" customWidth="1"/>
    <col min="7433" max="7686" width="9.109375" style="26"/>
    <col min="7687" max="7687" width="9.5546875" style="26" bestFit="1" customWidth="1"/>
    <col min="7688" max="7688" width="10.6640625" style="26" customWidth="1"/>
    <col min="7689" max="7942" width="9.109375" style="26"/>
    <col min="7943" max="7943" width="9.5546875" style="26" bestFit="1" customWidth="1"/>
    <col min="7944" max="7944" width="10.6640625" style="26" customWidth="1"/>
    <col min="7945" max="8198" width="9.109375" style="26"/>
    <col min="8199" max="8199" width="9.5546875" style="26" bestFit="1" customWidth="1"/>
    <col min="8200" max="8200" width="10.6640625" style="26" customWidth="1"/>
    <col min="8201" max="8454" width="9.109375" style="26"/>
    <col min="8455" max="8455" width="9.5546875" style="26" bestFit="1" customWidth="1"/>
    <col min="8456" max="8456" width="10.6640625" style="26" customWidth="1"/>
    <col min="8457" max="8710" width="9.109375" style="26"/>
    <col min="8711" max="8711" width="9.5546875" style="26" bestFit="1" customWidth="1"/>
    <col min="8712" max="8712" width="10.6640625" style="26" customWidth="1"/>
    <col min="8713" max="8966" width="9.109375" style="26"/>
    <col min="8967" max="8967" width="9.5546875" style="26" bestFit="1" customWidth="1"/>
    <col min="8968" max="8968" width="10.6640625" style="26" customWidth="1"/>
    <col min="8969" max="9222" width="9.109375" style="26"/>
    <col min="9223" max="9223" width="9.5546875" style="26" bestFit="1" customWidth="1"/>
    <col min="9224" max="9224" width="10.6640625" style="26" customWidth="1"/>
    <col min="9225" max="9478" width="9.109375" style="26"/>
    <col min="9479" max="9479" width="9.5546875" style="26" bestFit="1" customWidth="1"/>
    <col min="9480" max="9480" width="10.6640625" style="26" customWidth="1"/>
    <col min="9481" max="9734" width="9.109375" style="26"/>
    <col min="9735" max="9735" width="9.5546875" style="26" bestFit="1" customWidth="1"/>
    <col min="9736" max="9736" width="10.6640625" style="26" customWidth="1"/>
    <col min="9737" max="9990" width="9.109375" style="26"/>
    <col min="9991" max="9991" width="9.5546875" style="26" bestFit="1" customWidth="1"/>
    <col min="9992" max="9992" width="10.6640625" style="26" customWidth="1"/>
    <col min="9993" max="10246" width="9.109375" style="26"/>
    <col min="10247" max="10247" width="9.5546875" style="26" bestFit="1" customWidth="1"/>
    <col min="10248" max="10248" width="10.6640625" style="26" customWidth="1"/>
    <col min="10249" max="10502" width="9.109375" style="26"/>
    <col min="10503" max="10503" width="9.5546875" style="26" bestFit="1" customWidth="1"/>
    <col min="10504" max="10504" width="10.6640625" style="26" customWidth="1"/>
    <col min="10505" max="10758" width="9.109375" style="26"/>
    <col min="10759" max="10759" width="9.5546875" style="26" bestFit="1" customWidth="1"/>
    <col min="10760" max="10760" width="10.6640625" style="26" customWidth="1"/>
    <col min="10761" max="11014" width="9.109375" style="26"/>
    <col min="11015" max="11015" width="9.5546875" style="26" bestFit="1" customWidth="1"/>
    <col min="11016" max="11016" width="10.6640625" style="26" customWidth="1"/>
    <col min="11017" max="11270" width="9.109375" style="26"/>
    <col min="11271" max="11271" width="9.5546875" style="26" bestFit="1" customWidth="1"/>
    <col min="11272" max="11272" width="10.6640625" style="26" customWidth="1"/>
    <col min="11273" max="11526" width="9.109375" style="26"/>
    <col min="11527" max="11527" width="9.5546875" style="26" bestFit="1" customWidth="1"/>
    <col min="11528" max="11528" width="10.6640625" style="26" customWidth="1"/>
    <col min="11529" max="11782" width="9.109375" style="26"/>
    <col min="11783" max="11783" width="9.5546875" style="26" bestFit="1" customWidth="1"/>
    <col min="11784" max="11784" width="10.6640625" style="26" customWidth="1"/>
    <col min="11785" max="12038" width="9.109375" style="26"/>
    <col min="12039" max="12039" width="9.5546875" style="26" bestFit="1" customWidth="1"/>
    <col min="12040" max="12040" width="10.6640625" style="26" customWidth="1"/>
    <col min="12041" max="12294" width="9.109375" style="26"/>
    <col min="12295" max="12295" width="9.5546875" style="26" bestFit="1" customWidth="1"/>
    <col min="12296" max="12296" width="10.6640625" style="26" customWidth="1"/>
    <col min="12297" max="12550" width="9.109375" style="26"/>
    <col min="12551" max="12551" width="9.5546875" style="26" bestFit="1" customWidth="1"/>
    <col min="12552" max="12552" width="10.6640625" style="26" customWidth="1"/>
    <col min="12553" max="12806" width="9.109375" style="26"/>
    <col min="12807" max="12807" width="9.5546875" style="26" bestFit="1" customWidth="1"/>
    <col min="12808" max="12808" width="10.6640625" style="26" customWidth="1"/>
    <col min="12809" max="13062" width="9.109375" style="26"/>
    <col min="13063" max="13063" width="9.5546875" style="26" bestFit="1" customWidth="1"/>
    <col min="13064" max="13064" width="10.6640625" style="26" customWidth="1"/>
    <col min="13065" max="13318" width="9.109375" style="26"/>
    <col min="13319" max="13319" width="9.5546875" style="26" bestFit="1" customWidth="1"/>
    <col min="13320" max="13320" width="10.6640625" style="26" customWidth="1"/>
    <col min="13321" max="13574" width="9.109375" style="26"/>
    <col min="13575" max="13575" width="9.5546875" style="26" bestFit="1" customWidth="1"/>
    <col min="13576" max="13576" width="10.6640625" style="26" customWidth="1"/>
    <col min="13577" max="13830" width="9.109375" style="26"/>
    <col min="13831" max="13831" width="9.5546875" style="26" bestFit="1" customWidth="1"/>
    <col min="13832" max="13832" width="10.6640625" style="26" customWidth="1"/>
    <col min="13833" max="14086" width="9.109375" style="26"/>
    <col min="14087" max="14087" width="9.5546875" style="26" bestFit="1" customWidth="1"/>
    <col min="14088" max="14088" width="10.6640625" style="26" customWidth="1"/>
    <col min="14089" max="14342" width="9.109375" style="26"/>
    <col min="14343" max="14343" width="9.5546875" style="26" bestFit="1" customWidth="1"/>
    <col min="14344" max="14344" width="10.6640625" style="26" customWidth="1"/>
    <col min="14345" max="14598" width="9.109375" style="26"/>
    <col min="14599" max="14599" width="9.5546875" style="26" bestFit="1" customWidth="1"/>
    <col min="14600" max="14600" width="10.6640625" style="26" customWidth="1"/>
    <col min="14601" max="14854" width="9.109375" style="26"/>
    <col min="14855" max="14855" width="9.5546875" style="26" bestFit="1" customWidth="1"/>
    <col min="14856" max="14856" width="10.6640625" style="26" customWidth="1"/>
    <col min="14857" max="15110" width="9.109375" style="26"/>
    <col min="15111" max="15111" width="9.5546875" style="26" bestFit="1" customWidth="1"/>
    <col min="15112" max="15112" width="10.6640625" style="26" customWidth="1"/>
    <col min="15113" max="15366" width="9.109375" style="26"/>
    <col min="15367" max="15367" width="9.5546875" style="26" bestFit="1" customWidth="1"/>
    <col min="15368" max="15368" width="10.6640625" style="26" customWidth="1"/>
    <col min="15369" max="15622" width="9.109375" style="26"/>
    <col min="15623" max="15623" width="9.5546875" style="26" bestFit="1" customWidth="1"/>
    <col min="15624" max="15624" width="10.6640625" style="26" customWidth="1"/>
    <col min="15625" max="15878" width="9.109375" style="26"/>
    <col min="15879" max="15879" width="9.5546875" style="26" bestFit="1" customWidth="1"/>
    <col min="15880" max="15880" width="10.6640625" style="26" customWidth="1"/>
    <col min="15881" max="16134" width="9.109375" style="26"/>
    <col min="16135" max="16135" width="9.5546875" style="26" bestFit="1" customWidth="1"/>
    <col min="16136" max="16136" width="10.6640625" style="26" customWidth="1"/>
    <col min="16137" max="16384" width="9.109375" style="26"/>
  </cols>
  <sheetData>
    <row r="1" spans="1:15" ht="13.8" thickBot="1" x14ac:dyDescent="0.3">
      <c r="A1" s="84" t="s">
        <v>279</v>
      </c>
      <c r="B1" s="275" t="s">
        <v>402</v>
      </c>
      <c r="C1" s="33">
        <f>Drives!BA19</f>
        <v>38490.017945975058</v>
      </c>
      <c r="D1" s="28" t="s">
        <v>7</v>
      </c>
      <c r="E1" s="300">
        <v>4.5</v>
      </c>
      <c r="F1" s="301">
        <f>MAX(0.1,E1+100/C1)</f>
        <v>4.5025980762113536</v>
      </c>
      <c r="G1" s="36" t="s">
        <v>1</v>
      </c>
      <c r="H1" s="29">
        <f>IF(J1=0,0,H4/J1)</f>
        <v>0</v>
      </c>
      <c r="I1" s="54" t="s">
        <v>94</v>
      </c>
      <c r="J1" s="34">
        <f>Drives!Z19</f>
        <v>0</v>
      </c>
      <c r="K1" s="26" t="s">
        <v>84</v>
      </c>
      <c r="N1" s="254">
        <v>0.97499999999999998</v>
      </c>
      <c r="O1" s="26" t="s">
        <v>176</v>
      </c>
    </row>
    <row r="2" spans="1:15" x14ac:dyDescent="0.25">
      <c r="A2" s="269" t="s">
        <v>88</v>
      </c>
      <c r="B2" s="276">
        <v>19</v>
      </c>
      <c r="D2" s="26">
        <f>C4+1</f>
        <v>6</v>
      </c>
      <c r="E2" s="41">
        <f>F1-C3</f>
        <v>0.50259807621135355</v>
      </c>
      <c r="F2" s="36"/>
      <c r="G2" s="36"/>
      <c r="J2" s="29">
        <f>IF(J1&gt;=0.6, 0.7+(J1-0.6)*0.75, IF(J1&gt;=0.2, 0.3+(J1-0.2)*1, J1*1.5))</f>
        <v>0</v>
      </c>
      <c r="K2" s="26" t="s">
        <v>60</v>
      </c>
    </row>
    <row r="3" spans="1:15" ht="13.8" thickBot="1" x14ac:dyDescent="0.3">
      <c r="A3" s="270" t="s">
        <v>365</v>
      </c>
      <c r="C3" s="41">
        <f>HLOOKUP($F$1,$D$62:$U$113,(B3+1))</f>
        <v>4</v>
      </c>
      <c r="D3" s="41">
        <f>HLOOKUP($D$2,$D$61:$U$113,(B3+2))</f>
        <v>5</v>
      </c>
      <c r="E3" s="26">
        <f>D3-C3</f>
        <v>1</v>
      </c>
      <c r="F3" s="26">
        <f>IF(E3=0,1,E2/E3)</f>
        <v>0.50259807621135355</v>
      </c>
      <c r="G3" s="32">
        <f>C3+(E3*F3)</f>
        <v>4.5025980762113536</v>
      </c>
      <c r="J3" s="31"/>
    </row>
    <row r="4" spans="1:15" ht="13.8" thickBot="1" x14ac:dyDescent="0.3">
      <c r="A4" s="31" t="s">
        <v>90</v>
      </c>
      <c r="B4" s="26">
        <v>1</v>
      </c>
      <c r="C4" s="302">
        <f t="shared" ref="C4:C53" si="0">HLOOKUP($F$1,$D$62:$U$113,(B4+1))</f>
        <v>5</v>
      </c>
      <c r="D4" s="302">
        <f t="shared" ref="D4:D53" si="1">HLOOKUP($D$2,$D$61:$U$113,(B4+2))</f>
        <v>6</v>
      </c>
      <c r="G4" s="27">
        <v>100</v>
      </c>
      <c r="H4" s="34">
        <f>Drives!AR19</f>
        <v>0</v>
      </c>
      <c r="I4" s="26" t="s">
        <v>53</v>
      </c>
    </row>
    <row r="5" spans="1:15" x14ac:dyDescent="0.25">
      <c r="B5" s="26">
        <v>2</v>
      </c>
      <c r="C5" s="52">
        <f t="shared" si="0"/>
        <v>2.6794917304969575E-2</v>
      </c>
      <c r="D5" s="52">
        <f t="shared" si="1"/>
        <v>1.0787351058726545E-2</v>
      </c>
      <c r="E5" s="48">
        <f t="shared" ref="E5:E53" si="2">D5-C5</f>
        <v>-1.600756624624303E-2</v>
      </c>
      <c r="F5" s="48">
        <f t="shared" ref="F5:F53" si="3">E5*$F$3</f>
        <v>-8.0453720001875447E-3</v>
      </c>
      <c r="G5" s="48">
        <f t="shared" ref="G5:G53" si="4">C5+F5</f>
        <v>1.8749545304782032E-2</v>
      </c>
      <c r="H5" s="30">
        <f>J$2*G5*$H$1/100</f>
        <v>0</v>
      </c>
    </row>
    <row r="6" spans="1:15" x14ac:dyDescent="0.25">
      <c r="A6" s="270" t="s">
        <v>403</v>
      </c>
      <c r="B6" s="26">
        <v>3</v>
      </c>
      <c r="C6" s="52">
        <f t="shared" si="0"/>
        <v>6.2072885442798249</v>
      </c>
      <c r="D6" s="52">
        <f t="shared" si="1"/>
        <v>7.7608557639223745</v>
      </c>
      <c r="E6" s="48">
        <f t="shared" si="2"/>
        <v>1.5535672196425496</v>
      </c>
      <c r="F6" s="48">
        <f t="shared" si="3"/>
        <v>0.78081989585736677</v>
      </c>
      <c r="G6" s="48">
        <f t="shared" si="4"/>
        <v>6.988108440137192</v>
      </c>
      <c r="H6" s="30">
        <f t="shared" ref="H6:H53" si="5">J$2*G6*$H$1/100</f>
        <v>0</v>
      </c>
    </row>
    <row r="7" spans="1:15" x14ac:dyDescent="0.25">
      <c r="A7" s="270" t="s">
        <v>92</v>
      </c>
      <c r="B7" s="26">
        <v>4</v>
      </c>
      <c r="C7" s="52">
        <f t="shared" si="0"/>
        <v>2.1212221057019379E-2</v>
      </c>
      <c r="D7" s="52">
        <f t="shared" si="1"/>
        <v>1.8916758051922035E-2</v>
      </c>
      <c r="E7" s="48">
        <f t="shared" si="2"/>
        <v>-2.2954630050973437E-3</v>
      </c>
      <c r="F7" s="48">
        <f t="shared" si="3"/>
        <v>-1.1536952903762575E-3</v>
      </c>
      <c r="G7" s="48">
        <f t="shared" si="4"/>
        <v>2.0058525766643121E-2</v>
      </c>
      <c r="H7" s="30">
        <f t="shared" si="5"/>
        <v>0</v>
      </c>
    </row>
    <row r="8" spans="1:15" x14ac:dyDescent="0.25">
      <c r="A8" s="271"/>
      <c r="B8" s="26">
        <v>5</v>
      </c>
      <c r="C8" s="52">
        <f t="shared" si="0"/>
        <v>41.72752692184784</v>
      </c>
      <c r="D8" s="52">
        <f t="shared" si="1"/>
        <v>37.27946499417164</v>
      </c>
      <c r="E8" s="48">
        <f t="shared" si="2"/>
        <v>-4.4480619276761999</v>
      </c>
      <c r="F8" s="48">
        <f t="shared" si="3"/>
        <v>-2.235587367719023</v>
      </c>
      <c r="G8" s="48">
        <f t="shared" si="4"/>
        <v>39.49193955412882</v>
      </c>
      <c r="H8" s="30">
        <f t="shared" si="5"/>
        <v>0</v>
      </c>
    </row>
    <row r="9" spans="1:15" x14ac:dyDescent="0.25">
      <c r="A9" s="271"/>
      <c r="B9" s="26">
        <v>6</v>
      </c>
      <c r="C9" s="52">
        <f t="shared" si="0"/>
        <v>1.1087146410300954E-2</v>
      </c>
      <c r="D9" s="52">
        <f t="shared" si="1"/>
        <v>6.7285132893848583E-3</v>
      </c>
      <c r="E9" s="48">
        <f t="shared" si="2"/>
        <v>-4.3586331209160955E-3</v>
      </c>
      <c r="F9" s="48">
        <f t="shared" si="3"/>
        <v>-2.1906406214835176E-3</v>
      </c>
      <c r="G9" s="48">
        <f t="shared" si="4"/>
        <v>8.8965057888174357E-3</v>
      </c>
      <c r="H9" s="30">
        <f t="shared" si="5"/>
        <v>0</v>
      </c>
    </row>
    <row r="10" spans="1:15" x14ac:dyDescent="0.25">
      <c r="B10" s="26">
        <v>7</v>
      </c>
      <c r="C10" s="52">
        <f t="shared" si="0"/>
        <v>13.8859457017344</v>
      </c>
      <c r="D10" s="52">
        <f t="shared" si="1"/>
        <v>10.407370469722119</v>
      </c>
      <c r="E10" s="48">
        <f t="shared" si="2"/>
        <v>-3.4785752320122807</v>
      </c>
      <c r="F10" s="48">
        <f t="shared" si="3"/>
        <v>-1.7483252195658352</v>
      </c>
      <c r="G10" s="48">
        <f t="shared" si="4"/>
        <v>12.137620482168565</v>
      </c>
      <c r="H10" s="30">
        <f t="shared" si="5"/>
        <v>0</v>
      </c>
    </row>
    <row r="11" spans="1:15" x14ac:dyDescent="0.25">
      <c r="B11" s="26">
        <v>8</v>
      </c>
      <c r="C11" s="52">
        <f t="shared" si="0"/>
        <v>8.5355102461392024E-3</v>
      </c>
      <c r="D11" s="52">
        <f t="shared" si="1"/>
        <v>1.9603945043945102E-2</v>
      </c>
      <c r="E11" s="48">
        <f t="shared" si="2"/>
        <v>1.10684347978059E-2</v>
      </c>
      <c r="F11" s="48">
        <f t="shared" si="3"/>
        <v>5.5629740360480474E-3</v>
      </c>
      <c r="G11" s="48">
        <f t="shared" si="4"/>
        <v>1.4098484282187251E-2</v>
      </c>
      <c r="H11" s="30">
        <f t="shared" si="5"/>
        <v>0</v>
      </c>
    </row>
    <row r="12" spans="1:15" x14ac:dyDescent="0.25">
      <c r="B12" s="26">
        <v>9</v>
      </c>
      <c r="C12" s="52">
        <f t="shared" si="0"/>
        <v>1.0648962156533353</v>
      </c>
      <c r="D12" s="52">
        <f t="shared" si="1"/>
        <v>1.5532650518305111</v>
      </c>
      <c r="E12" s="48">
        <f t="shared" si="2"/>
        <v>0.48836883617717586</v>
      </c>
      <c r="F12" s="48">
        <f t="shared" si="3"/>
        <v>0.24545323754422627</v>
      </c>
      <c r="G12" s="48">
        <f t="shared" si="4"/>
        <v>1.3103494531975615</v>
      </c>
      <c r="H12" s="30">
        <f t="shared" si="5"/>
        <v>0</v>
      </c>
    </row>
    <row r="13" spans="1:15" x14ac:dyDescent="0.25">
      <c r="B13" s="26">
        <v>10</v>
      </c>
      <c r="C13" s="52">
        <f t="shared" si="0"/>
        <v>1.3760275349404955E-2</v>
      </c>
      <c r="D13" s="52">
        <f t="shared" si="1"/>
        <v>1.2351163020258928E-2</v>
      </c>
      <c r="E13" s="48">
        <f t="shared" si="2"/>
        <v>-1.409112329146027E-3</v>
      </c>
      <c r="F13" s="48">
        <f t="shared" si="3"/>
        <v>-7.0821714579449272E-4</v>
      </c>
      <c r="G13" s="48">
        <f t="shared" si="4"/>
        <v>1.3052058203610462E-2</v>
      </c>
      <c r="H13" s="30">
        <f t="shared" si="5"/>
        <v>0</v>
      </c>
    </row>
    <row r="14" spans="1:15" x14ac:dyDescent="0.25">
      <c r="B14" s="26">
        <v>11</v>
      </c>
      <c r="C14" s="52">
        <f t="shared" si="0"/>
        <v>7.4570840283088478</v>
      </c>
      <c r="D14" s="52">
        <f t="shared" si="1"/>
        <v>6.9055670232180777</v>
      </c>
      <c r="E14" s="48">
        <f t="shared" si="2"/>
        <v>-0.55151700509077006</v>
      </c>
      <c r="F14" s="48">
        <f t="shared" si="3"/>
        <v>-0.27719138575646829</v>
      </c>
      <c r="G14" s="48">
        <f t="shared" si="4"/>
        <v>7.1798926425523799</v>
      </c>
      <c r="H14" s="30">
        <f t="shared" si="5"/>
        <v>0</v>
      </c>
    </row>
    <row r="15" spans="1:15" x14ac:dyDescent="0.25">
      <c r="B15" s="26">
        <v>12</v>
      </c>
      <c r="C15" s="52">
        <f t="shared" si="0"/>
        <v>6.1922252654432195E-3</v>
      </c>
      <c r="D15" s="52">
        <f t="shared" si="1"/>
        <v>4.6340307760456886E-3</v>
      </c>
      <c r="E15" s="48">
        <f t="shared" si="2"/>
        <v>-1.5581944893975309E-3</v>
      </c>
      <c r="F15" s="48">
        <f t="shared" si="3"/>
        <v>-7.8314555273433135E-4</v>
      </c>
      <c r="G15" s="48">
        <f t="shared" si="4"/>
        <v>5.4090797127088882E-3</v>
      </c>
      <c r="H15" s="30">
        <f t="shared" si="5"/>
        <v>0</v>
      </c>
    </row>
    <row r="16" spans="1:15" x14ac:dyDescent="0.25">
      <c r="B16" s="26">
        <v>13</v>
      </c>
      <c r="C16" s="52">
        <f t="shared" si="0"/>
        <v>3.136813925533426</v>
      </c>
      <c r="D16" s="52">
        <f t="shared" si="1"/>
        <v>3.2687886565984781</v>
      </c>
      <c r="E16" s="48">
        <f t="shared" si="2"/>
        <v>0.13197473106505209</v>
      </c>
      <c r="F16" s="48">
        <f t="shared" si="3"/>
        <v>6.6330245941805935E-2</v>
      </c>
      <c r="G16" s="48">
        <f t="shared" si="4"/>
        <v>3.2031441714752318</v>
      </c>
      <c r="H16" s="30">
        <f t="shared" si="5"/>
        <v>0</v>
      </c>
    </row>
    <row r="17" spans="2:8" x14ac:dyDescent="0.25">
      <c r="B17" s="26">
        <v>14</v>
      </c>
      <c r="C17" s="52">
        <f t="shared" si="0"/>
        <v>1.1300571663228018E-2</v>
      </c>
      <c r="D17" s="52">
        <f t="shared" si="1"/>
        <v>1.3986444352451872E-2</v>
      </c>
      <c r="E17" s="48">
        <f t="shared" si="2"/>
        <v>2.6858726892238539E-3</v>
      </c>
      <c r="F17" s="48">
        <f t="shared" si="3"/>
        <v>1.3499144465525237E-3</v>
      </c>
      <c r="G17" s="48">
        <f t="shared" si="4"/>
        <v>1.2650486109780541E-2</v>
      </c>
      <c r="H17" s="30">
        <f t="shared" si="5"/>
        <v>0</v>
      </c>
    </row>
    <row r="18" spans="2:8" x14ac:dyDescent="0.25">
      <c r="B18" s="26">
        <v>15</v>
      </c>
      <c r="C18" s="52">
        <f t="shared" si="0"/>
        <v>0.6117370588990978</v>
      </c>
      <c r="D18" s="52">
        <f t="shared" si="1"/>
        <v>0.7739736036483279</v>
      </c>
      <c r="E18" s="48">
        <f t="shared" si="2"/>
        <v>0.1622365447492301</v>
      </c>
      <c r="F18" s="48">
        <f t="shared" si="3"/>
        <v>8.1539775282140223E-2</v>
      </c>
      <c r="G18" s="48">
        <f t="shared" si="4"/>
        <v>0.69327683418123798</v>
      </c>
      <c r="H18" s="30">
        <f t="shared" si="5"/>
        <v>0</v>
      </c>
    </row>
    <row r="19" spans="2:8" x14ac:dyDescent="0.25">
      <c r="B19" s="26">
        <v>16</v>
      </c>
      <c r="C19" s="52">
        <f t="shared" si="0"/>
        <v>9.8004503653837914E-3</v>
      </c>
      <c r="D19" s="52">
        <f t="shared" si="1"/>
        <v>9.3355107602731344E-3</v>
      </c>
      <c r="E19" s="48">
        <f t="shared" si="2"/>
        <v>-4.6493960511065704E-4</v>
      </c>
      <c r="F19" s="48">
        <f t="shared" si="3"/>
        <v>-2.3367775108308264E-4</v>
      </c>
      <c r="G19" s="48">
        <f t="shared" si="4"/>
        <v>9.5667726143007087E-3</v>
      </c>
      <c r="H19" s="30">
        <f t="shared" si="5"/>
        <v>0</v>
      </c>
    </row>
    <row r="20" spans="2:8" x14ac:dyDescent="0.25">
      <c r="B20" s="26">
        <v>17</v>
      </c>
      <c r="C20" s="52">
        <f t="shared" si="0"/>
        <v>3.5365888642625669</v>
      </c>
      <c r="D20" s="52">
        <f t="shared" si="1"/>
        <v>2.7954962272937816</v>
      </c>
      <c r="E20" s="48">
        <f t="shared" si="2"/>
        <v>-0.74109263696878536</v>
      </c>
      <c r="F20" s="48">
        <f t="shared" si="3"/>
        <v>-0.37247173363491054</v>
      </c>
      <c r="G20" s="48">
        <f t="shared" si="4"/>
        <v>3.1641171306276563</v>
      </c>
      <c r="H20" s="30">
        <f t="shared" si="5"/>
        <v>0</v>
      </c>
    </row>
    <row r="21" spans="2:8" x14ac:dyDescent="0.25">
      <c r="B21" s="26">
        <v>18</v>
      </c>
      <c r="C21" s="52">
        <f t="shared" si="0"/>
        <v>5.1323452366736095E-3</v>
      </c>
      <c r="D21" s="52">
        <f t="shared" si="1"/>
        <v>3.2624660891922676E-3</v>
      </c>
      <c r="E21" s="48">
        <f t="shared" si="2"/>
        <v>-1.8698791474813419E-3</v>
      </c>
      <c r="F21" s="48">
        <f t="shared" si="3"/>
        <v>-9.3979766227184828E-4</v>
      </c>
      <c r="G21" s="48">
        <f t="shared" si="4"/>
        <v>4.192547574401761E-3</v>
      </c>
      <c r="H21" s="30">
        <f t="shared" si="5"/>
        <v>0</v>
      </c>
    </row>
    <row r="22" spans="2:8" x14ac:dyDescent="0.25">
      <c r="B22" s="26">
        <v>19</v>
      </c>
      <c r="C22" s="52">
        <f t="shared" si="0"/>
        <v>1.435344927819425</v>
      </c>
      <c r="D22" s="52">
        <f t="shared" si="1"/>
        <v>1.8152549557696753</v>
      </c>
      <c r="E22" s="48">
        <f t="shared" si="2"/>
        <v>0.37991002795025031</v>
      </c>
      <c r="F22" s="48">
        <f t="shared" si="3"/>
        <v>0.19094204918119737</v>
      </c>
      <c r="G22" s="48">
        <f t="shared" si="4"/>
        <v>1.6262869770006223</v>
      </c>
      <c r="H22" s="30">
        <f t="shared" si="5"/>
        <v>0</v>
      </c>
    </row>
    <row r="23" spans="2:8" x14ac:dyDescent="0.25">
      <c r="B23" s="26">
        <v>20</v>
      </c>
      <c r="C23" s="52">
        <f t="shared" si="0"/>
        <v>1.2553645285502412E-2</v>
      </c>
      <c r="D23" s="52">
        <f t="shared" si="1"/>
        <v>1.1519216055600136E-2</v>
      </c>
      <c r="E23" s="48">
        <f t="shared" si="2"/>
        <v>-1.0344292299022759E-3</v>
      </c>
      <c r="F23" s="48">
        <f t="shared" si="3"/>
        <v>-5.199021409256759E-4</v>
      </c>
      <c r="G23" s="48">
        <f t="shared" si="4"/>
        <v>1.2033743144576736E-2</v>
      </c>
      <c r="H23" s="30">
        <f t="shared" si="5"/>
        <v>0</v>
      </c>
    </row>
    <row r="24" spans="2:8" x14ac:dyDescent="0.25">
      <c r="B24" s="26">
        <v>21</v>
      </c>
      <c r="C24" s="52">
        <f t="shared" si="0"/>
        <v>0.43156831387325317</v>
      </c>
      <c r="D24" s="52">
        <f t="shared" si="1"/>
        <v>0.51232861946084751</v>
      </c>
      <c r="E24" s="48">
        <f t="shared" si="2"/>
        <v>8.0760305587594339E-2</v>
      </c>
      <c r="F24" s="48">
        <f t="shared" si="3"/>
        <v>4.0589974222565939E-2</v>
      </c>
      <c r="G24" s="48">
        <f t="shared" si="4"/>
        <v>0.47215828809581911</v>
      </c>
      <c r="H24" s="30">
        <f t="shared" si="5"/>
        <v>0</v>
      </c>
    </row>
    <row r="25" spans="2:8" x14ac:dyDescent="0.25">
      <c r="B25" s="26">
        <v>22</v>
      </c>
      <c r="C25" s="52">
        <f t="shared" si="0"/>
        <v>9.1411482785596215E-3</v>
      </c>
      <c r="D25" s="52">
        <f t="shared" si="1"/>
        <v>1.3328297513609087E-2</v>
      </c>
      <c r="E25" s="48">
        <f t="shared" si="2"/>
        <v>4.1871492350494654E-3</v>
      </c>
      <c r="F25" s="48">
        <f t="shared" si="3"/>
        <v>2.1044531503457021E-3</v>
      </c>
      <c r="G25" s="48">
        <f t="shared" si="4"/>
        <v>1.1245601428905324E-2</v>
      </c>
      <c r="H25" s="30">
        <f t="shared" si="5"/>
        <v>0</v>
      </c>
    </row>
    <row r="26" spans="2:8" x14ac:dyDescent="0.25">
      <c r="B26" s="26">
        <v>23</v>
      </c>
      <c r="C26" s="52">
        <f t="shared" si="0"/>
        <v>1.9472020944612196</v>
      </c>
      <c r="D26" s="52">
        <f t="shared" si="1"/>
        <v>1.3645089433593613</v>
      </c>
      <c r="E26" s="48">
        <f t="shared" si="2"/>
        <v>-0.58269315110185826</v>
      </c>
      <c r="F26" s="48">
        <f t="shared" si="3"/>
        <v>-0.29286045676532552</v>
      </c>
      <c r="G26" s="48">
        <f t="shared" si="4"/>
        <v>1.6543416376958942</v>
      </c>
      <c r="H26" s="30">
        <f t="shared" si="5"/>
        <v>0</v>
      </c>
    </row>
    <row r="27" spans="2:8" x14ac:dyDescent="0.25">
      <c r="B27" s="26">
        <v>24</v>
      </c>
      <c r="C27" s="52">
        <f t="shared" si="0"/>
        <v>5.3235417328994826E-3</v>
      </c>
      <c r="D27" s="52">
        <f t="shared" si="1"/>
        <v>5.8116700278296428E-3</v>
      </c>
      <c r="E27" s="48">
        <f t="shared" si="2"/>
        <v>4.8812829493016015E-4</v>
      </c>
      <c r="F27" s="48">
        <f t="shared" si="3"/>
        <v>2.453323419762267E-4</v>
      </c>
      <c r="G27" s="48">
        <f t="shared" si="4"/>
        <v>5.5688740748757095E-3</v>
      </c>
      <c r="H27" s="30">
        <f t="shared" si="5"/>
        <v>0</v>
      </c>
    </row>
    <row r="28" spans="2:8" x14ac:dyDescent="0.25">
      <c r="B28" s="26">
        <v>25</v>
      </c>
      <c r="C28" s="52">
        <f t="shared" si="0"/>
        <v>0.87516515937476913</v>
      </c>
      <c r="D28" s="52">
        <f t="shared" si="1"/>
        <v>1.0203047520164361</v>
      </c>
      <c r="E28" s="48">
        <f t="shared" si="2"/>
        <v>0.14513959264166698</v>
      </c>
      <c r="F28" s="48">
        <f t="shared" si="3"/>
        <v>7.2946880043801357E-2</v>
      </c>
      <c r="G28" s="48">
        <f t="shared" si="4"/>
        <v>0.94811203941857047</v>
      </c>
      <c r="H28" s="30">
        <f t="shared" si="5"/>
        <v>0</v>
      </c>
    </row>
    <row r="29" spans="2:8" x14ac:dyDescent="0.25">
      <c r="B29" s="26">
        <v>26</v>
      </c>
      <c r="C29" s="52">
        <f t="shared" si="0"/>
        <v>1.340051166752103E-2</v>
      </c>
      <c r="D29" s="52">
        <f t="shared" si="1"/>
        <v>1.2261667576280695E-2</v>
      </c>
      <c r="E29" s="48">
        <f t="shared" si="2"/>
        <v>-1.1388440912403347E-3</v>
      </c>
      <c r="F29" s="48">
        <f t="shared" si="3"/>
        <v>-5.7238084936205946E-4</v>
      </c>
      <c r="G29" s="48">
        <f t="shared" si="4"/>
        <v>1.2828130818158971E-2</v>
      </c>
      <c r="H29" s="30">
        <f t="shared" si="5"/>
        <v>0</v>
      </c>
    </row>
    <row r="30" spans="2:8" x14ac:dyDescent="0.25">
      <c r="B30" s="26">
        <v>27</v>
      </c>
      <c r="C30" s="52">
        <f t="shared" si="0"/>
        <v>0.33088372878460953</v>
      </c>
      <c r="D30" s="52">
        <f t="shared" si="1"/>
        <v>0.40809218499146371</v>
      </c>
      <c r="E30" s="48">
        <f t="shared" si="2"/>
        <v>7.7208456206854181E-2</v>
      </c>
      <c r="F30" s="48">
        <f t="shared" si="3"/>
        <v>3.8804821556813453E-2</v>
      </c>
      <c r="G30" s="48">
        <f t="shared" si="4"/>
        <v>0.36968855034142301</v>
      </c>
      <c r="H30" s="30">
        <f t="shared" si="5"/>
        <v>0</v>
      </c>
    </row>
    <row r="31" spans="2:8" x14ac:dyDescent="0.25">
      <c r="B31" s="26">
        <v>28</v>
      </c>
      <c r="C31" s="52">
        <f t="shared" si="0"/>
        <v>8.5362681900183323E-3</v>
      </c>
      <c r="D31" s="52">
        <f t="shared" si="1"/>
        <v>1.2556658041302614E-2</v>
      </c>
      <c r="E31" s="48">
        <f t="shared" si="2"/>
        <v>4.0203898512842819E-3</v>
      </c>
      <c r="F31" s="48">
        <f t="shared" si="3"/>
        <v>2.0206402048751301E-3</v>
      </c>
      <c r="G31" s="48">
        <f t="shared" si="4"/>
        <v>1.0556908394893462E-2</v>
      </c>
      <c r="H31" s="30">
        <f t="shared" si="5"/>
        <v>0</v>
      </c>
    </row>
    <row r="32" spans="2:8" x14ac:dyDescent="0.25">
      <c r="B32" s="26">
        <v>29</v>
      </c>
      <c r="C32" s="52">
        <f t="shared" si="0"/>
        <v>1.0907850218496227</v>
      </c>
      <c r="D32" s="52">
        <f t="shared" si="1"/>
        <v>0.75870567381450926</v>
      </c>
      <c r="E32" s="48">
        <f t="shared" si="2"/>
        <v>-0.33207934803511341</v>
      </c>
      <c r="F32" s="48">
        <f t="shared" si="3"/>
        <v>-0.16690244147196853</v>
      </c>
      <c r="G32" s="48">
        <f t="shared" si="4"/>
        <v>0.92388258037765414</v>
      </c>
      <c r="H32" s="30">
        <f t="shared" si="5"/>
        <v>0</v>
      </c>
    </row>
    <row r="33" spans="2:8" x14ac:dyDescent="0.25">
      <c r="B33" s="26">
        <v>30</v>
      </c>
      <c r="C33" s="52">
        <f t="shared" si="0"/>
        <v>5.0314868423076246E-3</v>
      </c>
      <c r="D33" s="52">
        <f t="shared" si="1"/>
        <v>4.6053075814346854E-3</v>
      </c>
      <c r="E33" s="48">
        <f t="shared" si="2"/>
        <v>-4.2617926087293919E-4</v>
      </c>
      <c r="F33" s="48">
        <f t="shared" si="3"/>
        <v>-2.1419687663591582E-4</v>
      </c>
      <c r="G33" s="48">
        <f t="shared" si="4"/>
        <v>4.817289965671709E-3</v>
      </c>
      <c r="H33" s="30">
        <f t="shared" si="5"/>
        <v>0</v>
      </c>
    </row>
    <row r="34" spans="2:8" x14ac:dyDescent="0.25">
      <c r="B34" s="26">
        <v>31</v>
      </c>
      <c r="C34" s="52">
        <f t="shared" si="0"/>
        <v>0.58112005814292844</v>
      </c>
      <c r="D34" s="52">
        <f t="shared" si="1"/>
        <v>0.56772740214173922</v>
      </c>
      <c r="E34" s="48">
        <f t="shared" si="2"/>
        <v>-1.3392656001189218E-2</v>
      </c>
      <c r="F34" s="48">
        <f t="shared" si="3"/>
        <v>-6.7311231415581405E-3</v>
      </c>
      <c r="G34" s="48">
        <f t="shared" si="4"/>
        <v>0.57438893500137034</v>
      </c>
      <c r="H34" s="30">
        <f t="shared" si="5"/>
        <v>0</v>
      </c>
    </row>
    <row r="35" spans="2:8" x14ac:dyDescent="0.25">
      <c r="B35" s="26">
        <v>32</v>
      </c>
      <c r="C35" s="52">
        <f t="shared" si="0"/>
        <v>1.305927336868163E-2</v>
      </c>
      <c r="D35" s="52">
        <f t="shared" si="1"/>
        <v>8.8970610246392086E-3</v>
      </c>
      <c r="E35" s="48">
        <f t="shared" si="2"/>
        <v>-4.1622123440424215E-3</v>
      </c>
      <c r="F35" s="48">
        <f t="shared" si="3"/>
        <v>-2.0919199168988696E-3</v>
      </c>
      <c r="G35" s="48">
        <f t="shared" si="4"/>
        <v>1.096735345178276E-2</v>
      </c>
      <c r="H35" s="30">
        <f t="shared" si="5"/>
        <v>0</v>
      </c>
    </row>
    <row r="36" spans="2:8" x14ac:dyDescent="0.25">
      <c r="B36" s="26">
        <v>33</v>
      </c>
      <c r="C36" s="52">
        <f t="shared" si="0"/>
        <v>0.26563628264177047</v>
      </c>
      <c r="D36" s="52">
        <f t="shared" si="1"/>
        <v>0.34165566585023771</v>
      </c>
      <c r="E36" s="48">
        <f t="shared" si="2"/>
        <v>7.6019383208467239E-2</v>
      </c>
      <c r="F36" s="48">
        <f t="shared" si="3"/>
        <v>3.820719575534931E-2</v>
      </c>
      <c r="G36" s="48">
        <f t="shared" si="4"/>
        <v>0.30384347839711978</v>
      </c>
      <c r="H36" s="30">
        <f t="shared" si="5"/>
        <v>0</v>
      </c>
    </row>
    <row r="37" spans="2:8" x14ac:dyDescent="0.25">
      <c r="B37" s="26">
        <v>34</v>
      </c>
      <c r="C37" s="52">
        <f t="shared" si="0"/>
        <v>0.18457651004529252</v>
      </c>
      <c r="D37" s="52">
        <f t="shared" si="1"/>
        <v>0.21861320828195963</v>
      </c>
      <c r="E37" s="48">
        <f t="shared" si="2"/>
        <v>3.4036698236667107E-2</v>
      </c>
      <c r="F37" s="48">
        <f t="shared" si="3"/>
        <v>1.7106779054335258E-2</v>
      </c>
      <c r="G37" s="48">
        <f t="shared" si="4"/>
        <v>0.20168328909962777</v>
      </c>
      <c r="H37" s="30">
        <f t="shared" si="5"/>
        <v>0</v>
      </c>
    </row>
    <row r="38" spans="2:8" x14ac:dyDescent="0.25">
      <c r="B38" s="26">
        <v>35</v>
      </c>
      <c r="C38" s="52">
        <f t="shared" si="0"/>
        <v>0.68755518357204037</v>
      </c>
      <c r="D38" s="52">
        <f t="shared" si="1"/>
        <v>0.51648077967213191</v>
      </c>
      <c r="E38" s="48">
        <f t="shared" si="2"/>
        <v>-0.17107440389990847</v>
      </c>
      <c r="F38" s="48">
        <f t="shared" si="3"/>
        <v>-8.5981666289098077E-2</v>
      </c>
      <c r="G38" s="48">
        <f t="shared" si="4"/>
        <v>0.60157351728294228</v>
      </c>
      <c r="H38" s="30">
        <f t="shared" si="5"/>
        <v>0</v>
      </c>
    </row>
    <row r="39" spans="2:8" x14ac:dyDescent="0.25">
      <c r="B39" s="26">
        <v>36</v>
      </c>
      <c r="C39" s="52">
        <f t="shared" si="0"/>
        <v>0.18457651004529252</v>
      </c>
      <c r="D39" s="52">
        <f t="shared" si="1"/>
        <v>0.21861320828195963</v>
      </c>
      <c r="E39" s="48">
        <f t="shared" si="2"/>
        <v>3.4036698236667107E-2</v>
      </c>
      <c r="F39" s="48">
        <f t="shared" si="3"/>
        <v>1.7106779054335258E-2</v>
      </c>
      <c r="G39" s="48">
        <f t="shared" si="4"/>
        <v>0.20168328909962777</v>
      </c>
      <c r="H39" s="30">
        <f t="shared" si="5"/>
        <v>0</v>
      </c>
    </row>
    <row r="40" spans="2:8" x14ac:dyDescent="0.25">
      <c r="B40" s="26">
        <v>37</v>
      </c>
      <c r="C40" s="52">
        <f t="shared" si="0"/>
        <v>0.35071388358174704</v>
      </c>
      <c r="D40" s="52">
        <f t="shared" si="1"/>
        <v>0.34192356461046053</v>
      </c>
      <c r="E40" s="48">
        <f t="shared" si="2"/>
        <v>-8.7903189712865148E-3</v>
      </c>
      <c r="F40" s="48">
        <f t="shared" si="3"/>
        <v>-4.4179974042527666E-3</v>
      </c>
      <c r="G40" s="48">
        <f t="shared" si="4"/>
        <v>0.34629588617749429</v>
      </c>
      <c r="H40" s="30">
        <f t="shared" si="5"/>
        <v>0</v>
      </c>
    </row>
    <row r="41" spans="2:8" x14ac:dyDescent="0.25">
      <c r="B41" s="26">
        <v>38</v>
      </c>
      <c r="C41" s="52">
        <f t="shared" si="0"/>
        <v>0.18457651004529252</v>
      </c>
      <c r="D41" s="52">
        <f t="shared" si="1"/>
        <v>0.21861320828195963</v>
      </c>
      <c r="E41" s="48">
        <f t="shared" si="2"/>
        <v>3.4036698236667107E-2</v>
      </c>
      <c r="F41" s="48">
        <f t="shared" si="3"/>
        <v>1.7106779054335258E-2</v>
      </c>
      <c r="G41" s="48">
        <f t="shared" si="4"/>
        <v>0.20168328909962777</v>
      </c>
      <c r="H41" s="30">
        <f t="shared" si="5"/>
        <v>0</v>
      </c>
    </row>
    <row r="42" spans="2:8" x14ac:dyDescent="0.25">
      <c r="B42" s="26">
        <v>39</v>
      </c>
      <c r="C42" s="52">
        <f t="shared" si="0"/>
        <v>0.21949671273146126</v>
      </c>
      <c r="D42" s="52">
        <f t="shared" si="1"/>
        <v>0.27640701454444089</v>
      </c>
      <c r="E42" s="48">
        <f t="shared" si="2"/>
        <v>5.6910301812979625E-2</v>
      </c>
      <c r="F42" s="48">
        <f t="shared" si="3"/>
        <v>2.8603008207811066E-2</v>
      </c>
      <c r="G42" s="48">
        <f t="shared" si="4"/>
        <v>0.24809972093927232</v>
      </c>
      <c r="H42" s="30">
        <f t="shared" si="5"/>
        <v>0</v>
      </c>
    </row>
    <row r="43" spans="2:8" x14ac:dyDescent="0.25">
      <c r="B43" s="26">
        <v>40</v>
      </c>
      <c r="C43" s="52">
        <f t="shared" si="0"/>
        <v>0.18457651004529252</v>
      </c>
      <c r="D43" s="52">
        <f t="shared" si="1"/>
        <v>0.21861320828195963</v>
      </c>
      <c r="E43" s="48">
        <f t="shared" si="2"/>
        <v>3.4036698236667107E-2</v>
      </c>
      <c r="F43" s="48">
        <f t="shared" si="3"/>
        <v>1.7106779054335258E-2</v>
      </c>
      <c r="G43" s="48">
        <f t="shared" si="4"/>
        <v>0.20168328909962777</v>
      </c>
      <c r="H43" s="30">
        <f t="shared" si="5"/>
        <v>0</v>
      </c>
    </row>
    <row r="44" spans="2:8" x14ac:dyDescent="0.25">
      <c r="B44" s="26">
        <v>41</v>
      </c>
      <c r="C44" s="52">
        <f t="shared" si="0"/>
        <v>0.49479101470748305</v>
      </c>
      <c r="D44" s="52">
        <f t="shared" si="1"/>
        <v>0.39951328972932304</v>
      </c>
      <c r="E44" s="48">
        <f t="shared" si="2"/>
        <v>-9.5277724978160006E-2</v>
      </c>
      <c r="F44" s="48">
        <f t="shared" si="3"/>
        <v>-4.7886401279817643E-2</v>
      </c>
      <c r="G44" s="48">
        <f t="shared" si="4"/>
        <v>0.44690461342766541</v>
      </c>
      <c r="H44" s="30">
        <f t="shared" si="5"/>
        <v>0</v>
      </c>
    </row>
    <row r="45" spans="2:8" x14ac:dyDescent="0.25">
      <c r="B45" s="26">
        <v>42</v>
      </c>
      <c r="C45" s="52">
        <f t="shared" si="0"/>
        <v>0.18457651004529252</v>
      </c>
      <c r="D45" s="52">
        <f t="shared" si="1"/>
        <v>0.21861320828195963</v>
      </c>
      <c r="E45" s="48">
        <f t="shared" si="2"/>
        <v>3.4036698236667107E-2</v>
      </c>
      <c r="F45" s="48">
        <f t="shared" si="3"/>
        <v>1.7106779054335258E-2</v>
      </c>
      <c r="G45" s="48">
        <f t="shared" si="4"/>
        <v>0.20168328909962777</v>
      </c>
      <c r="H45" s="30">
        <f t="shared" si="5"/>
        <v>0</v>
      </c>
    </row>
    <row r="46" spans="2:8" x14ac:dyDescent="0.25">
      <c r="B46" s="26">
        <v>43</v>
      </c>
      <c r="C46" s="52">
        <f t="shared" si="0"/>
        <v>0.21779752656057286</v>
      </c>
      <c r="D46" s="52">
        <f t="shared" si="1"/>
        <v>0.25538951981730396</v>
      </c>
      <c r="E46" s="48">
        <f t="shared" si="2"/>
        <v>3.7591993256731099E-2</v>
      </c>
      <c r="F46" s="48">
        <f t="shared" si="3"/>
        <v>1.8893663491783227E-2</v>
      </c>
      <c r="G46" s="48">
        <f t="shared" si="4"/>
        <v>0.23669119005235609</v>
      </c>
      <c r="H46" s="30">
        <f t="shared" si="5"/>
        <v>0</v>
      </c>
    </row>
    <row r="47" spans="2:8" x14ac:dyDescent="0.25">
      <c r="B47" s="26">
        <v>44</v>
      </c>
      <c r="C47" s="52">
        <f t="shared" si="0"/>
        <v>0.18457651004529252</v>
      </c>
      <c r="D47" s="52">
        <f t="shared" si="1"/>
        <v>0.21861320828195963</v>
      </c>
      <c r="E47" s="48">
        <f t="shared" si="2"/>
        <v>3.4036698236667107E-2</v>
      </c>
      <c r="F47" s="48">
        <f t="shared" si="3"/>
        <v>1.7106779054335258E-2</v>
      </c>
      <c r="G47" s="48">
        <f t="shared" si="4"/>
        <v>0.20168328909962777</v>
      </c>
      <c r="H47" s="30">
        <f t="shared" si="5"/>
        <v>0</v>
      </c>
    </row>
    <row r="48" spans="2:8" x14ac:dyDescent="0.25">
      <c r="B48" s="26">
        <v>45</v>
      </c>
      <c r="C48" s="52">
        <f t="shared" si="0"/>
        <v>0.18455139999068912</v>
      </c>
      <c r="D48" s="52">
        <f t="shared" si="1"/>
        <v>0.21866515563030009</v>
      </c>
      <c r="E48" s="48">
        <f t="shared" si="2"/>
        <v>3.4113755639610971E-2</v>
      </c>
      <c r="F48" s="48">
        <f t="shared" si="3"/>
        <v>1.7145507956812685E-2</v>
      </c>
      <c r="G48" s="48">
        <f t="shared" si="4"/>
        <v>0.20169690794750181</v>
      </c>
      <c r="H48" s="30">
        <f t="shared" si="5"/>
        <v>0</v>
      </c>
    </row>
    <row r="49" spans="1:21" x14ac:dyDescent="0.25">
      <c r="B49" s="26">
        <v>46</v>
      </c>
      <c r="C49" s="52">
        <f t="shared" si="0"/>
        <v>0.18457651004529252</v>
      </c>
      <c r="D49" s="52">
        <f t="shared" si="1"/>
        <v>0.21861320828195963</v>
      </c>
      <c r="E49" s="48">
        <f t="shared" si="2"/>
        <v>3.4036698236667107E-2</v>
      </c>
      <c r="F49" s="48">
        <f t="shared" si="3"/>
        <v>1.7106779054335258E-2</v>
      </c>
      <c r="G49" s="48">
        <f t="shared" si="4"/>
        <v>0.20168328909962777</v>
      </c>
      <c r="H49" s="30">
        <f t="shared" si="5"/>
        <v>0</v>
      </c>
    </row>
    <row r="50" spans="1:21" x14ac:dyDescent="0.25">
      <c r="B50" s="26">
        <v>47</v>
      </c>
      <c r="C50" s="52">
        <f t="shared" si="0"/>
        <v>0.41294151992551731</v>
      </c>
      <c r="D50" s="52">
        <f t="shared" si="1"/>
        <v>0.2940568330031525</v>
      </c>
      <c r="E50" s="48">
        <f t="shared" si="2"/>
        <v>-0.11888468692236481</v>
      </c>
      <c r="F50" s="48">
        <f t="shared" si="3"/>
        <v>-5.9751214938169615E-2</v>
      </c>
      <c r="G50" s="48">
        <f t="shared" si="4"/>
        <v>0.35319030498734771</v>
      </c>
      <c r="H50" s="30">
        <f t="shared" si="5"/>
        <v>0</v>
      </c>
    </row>
    <row r="51" spans="1:21" x14ac:dyDescent="0.25">
      <c r="B51" s="26">
        <v>48</v>
      </c>
      <c r="C51" s="52">
        <f t="shared" si="0"/>
        <v>0.18457651004529252</v>
      </c>
      <c r="D51" s="52">
        <f t="shared" si="1"/>
        <v>0.21861320828195963</v>
      </c>
      <c r="E51" s="48">
        <f t="shared" si="2"/>
        <v>3.4036698236667107E-2</v>
      </c>
      <c r="F51" s="48">
        <f t="shared" si="3"/>
        <v>1.7106779054335258E-2</v>
      </c>
      <c r="G51" s="48">
        <f t="shared" si="4"/>
        <v>0.20168328909962777</v>
      </c>
      <c r="H51" s="30">
        <f t="shared" si="5"/>
        <v>0</v>
      </c>
    </row>
    <row r="52" spans="1:21" x14ac:dyDescent="0.25">
      <c r="B52" s="26">
        <v>49</v>
      </c>
      <c r="C52" s="52">
        <f t="shared" si="0"/>
        <v>0.16067909526322774</v>
      </c>
      <c r="D52" s="52">
        <f t="shared" si="1"/>
        <v>0.19635848943192444</v>
      </c>
      <c r="E52" s="48">
        <f t="shared" si="2"/>
        <v>3.5679394168696699E-2</v>
      </c>
      <c r="F52" s="48">
        <f t="shared" si="3"/>
        <v>1.7932394869573546E-2</v>
      </c>
      <c r="G52" s="48">
        <f t="shared" si="4"/>
        <v>0.17861149013280128</v>
      </c>
      <c r="H52" s="30">
        <f t="shared" si="5"/>
        <v>0</v>
      </c>
    </row>
    <row r="53" spans="1:21" x14ac:dyDescent="0.25">
      <c r="B53" s="26">
        <v>50</v>
      </c>
      <c r="C53" s="52">
        <f t="shared" si="0"/>
        <v>0.18457651004529252</v>
      </c>
      <c r="D53" s="52">
        <f t="shared" si="1"/>
        <v>0.21861320828195963</v>
      </c>
      <c r="E53" s="48">
        <f t="shared" si="2"/>
        <v>3.4036698236667107E-2</v>
      </c>
      <c r="F53" s="48">
        <f t="shared" si="3"/>
        <v>1.7106779054335258E-2</v>
      </c>
      <c r="G53" s="48">
        <f t="shared" si="4"/>
        <v>0.20168328909962777</v>
      </c>
      <c r="H53" s="30">
        <f t="shared" si="5"/>
        <v>0</v>
      </c>
    </row>
    <row r="54" spans="1:21" x14ac:dyDescent="0.25">
      <c r="E54" s="32"/>
      <c r="F54" s="32"/>
    </row>
    <row r="55" spans="1:21" x14ac:dyDescent="0.25">
      <c r="F55" s="26" t="s">
        <v>85</v>
      </c>
      <c r="G55" s="29">
        <f>IF(H4=0,0,100*H55/H4)</f>
        <v>0</v>
      </c>
      <c r="H55" s="29">
        <f>SQRT(SUMSQ(H5:H53))</f>
        <v>0</v>
      </c>
      <c r="I55" s="26" t="s">
        <v>52</v>
      </c>
    </row>
    <row r="56" spans="1:21" x14ac:dyDescent="0.25">
      <c r="F56" s="26" t="s">
        <v>86</v>
      </c>
      <c r="G56" s="29">
        <f>SQRT(SUMSQ(G4:G53))</f>
        <v>108.80748954357367</v>
      </c>
      <c r="H56" s="29">
        <f>SQRT(SUMSQ(H4:H53))</f>
        <v>0</v>
      </c>
      <c r="I56" s="26" t="s">
        <v>54</v>
      </c>
    </row>
    <row r="57" spans="1:21" x14ac:dyDescent="0.25">
      <c r="G57" s="26" t="s">
        <v>87</v>
      </c>
      <c r="H57" s="26" t="s">
        <v>13</v>
      </c>
    </row>
    <row r="59" spans="1:21" x14ac:dyDescent="0.25">
      <c r="A59" s="84" t="s">
        <v>63</v>
      </c>
      <c r="C59" s="36"/>
      <c r="D59" s="36"/>
      <c r="E59" s="36"/>
      <c r="F59" s="36"/>
      <c r="G59" s="36"/>
      <c r="H59" s="36"/>
      <c r="I59" s="36"/>
      <c r="J59" s="36"/>
      <c r="K59" s="36"/>
      <c r="L59" s="36"/>
      <c r="M59" s="36"/>
      <c r="N59" s="36"/>
      <c r="O59" s="36"/>
      <c r="P59" s="36"/>
      <c r="Q59" s="36"/>
      <c r="R59" s="36"/>
      <c r="S59" s="36"/>
    </row>
    <row r="60" spans="1:21" ht="14.4" x14ac:dyDescent="0.3">
      <c r="C60" s="1" t="s">
        <v>478</v>
      </c>
      <c r="D60" s="7">
        <f>100/D62</f>
        <v>1000</v>
      </c>
      <c r="E60" s="7">
        <f t="shared" ref="E60:U60" si="6">100/E62</f>
        <v>200</v>
      </c>
      <c r="F60" s="7">
        <f t="shared" si="6"/>
        <v>100</v>
      </c>
      <c r="G60" s="7">
        <f t="shared" si="6"/>
        <v>50</v>
      </c>
      <c r="H60" s="7">
        <f t="shared" si="6"/>
        <v>33.333333333333336</v>
      </c>
      <c r="I60" s="7">
        <f t="shared" si="6"/>
        <v>25</v>
      </c>
      <c r="J60" s="7">
        <f t="shared" si="6"/>
        <v>20</v>
      </c>
      <c r="K60" s="7">
        <f t="shared" si="6"/>
        <v>16.666666666666668</v>
      </c>
      <c r="L60" s="7">
        <f t="shared" si="6"/>
        <v>14.285714285714286</v>
      </c>
      <c r="M60" s="7">
        <f t="shared" si="6"/>
        <v>12.5</v>
      </c>
      <c r="N60" s="7">
        <f t="shared" si="6"/>
        <v>10</v>
      </c>
      <c r="O60" s="7">
        <f t="shared" si="6"/>
        <v>8.3333333333333339</v>
      </c>
      <c r="P60" s="7">
        <f t="shared" si="6"/>
        <v>7.1428571428571432</v>
      </c>
      <c r="Q60" s="7">
        <f t="shared" si="6"/>
        <v>5.5555555555555554</v>
      </c>
      <c r="R60" s="7">
        <f t="shared" si="6"/>
        <v>4.7619047619047619</v>
      </c>
      <c r="S60" s="7">
        <f t="shared" si="6"/>
        <v>1</v>
      </c>
      <c r="T60" s="7">
        <f t="shared" si="6"/>
        <v>0.1</v>
      </c>
      <c r="U60" s="7">
        <f t="shared" si="6"/>
        <v>0.01</v>
      </c>
    </row>
    <row r="61" spans="1:21" ht="14.4" x14ac:dyDescent="0.3">
      <c r="C61" s="1" t="s">
        <v>64</v>
      </c>
      <c r="D61">
        <v>0</v>
      </c>
      <c r="E61">
        <v>1</v>
      </c>
      <c r="F61">
        <v>2</v>
      </c>
      <c r="G61">
        <v>3</v>
      </c>
      <c r="H61">
        <v>4</v>
      </c>
      <c r="I61">
        <v>5</v>
      </c>
      <c r="J61">
        <v>6</v>
      </c>
      <c r="K61">
        <v>7</v>
      </c>
      <c r="L61">
        <v>8</v>
      </c>
      <c r="M61">
        <v>9</v>
      </c>
      <c r="N61">
        <v>10</v>
      </c>
      <c r="O61">
        <v>11</v>
      </c>
      <c r="P61">
        <v>12</v>
      </c>
      <c r="Q61">
        <v>13</v>
      </c>
      <c r="R61">
        <v>14</v>
      </c>
      <c r="S61">
        <v>15</v>
      </c>
      <c r="T61">
        <v>16</v>
      </c>
      <c r="U61">
        <v>17</v>
      </c>
    </row>
    <row r="62" spans="1:21" ht="14.4" x14ac:dyDescent="0.3">
      <c r="A62" s="26" t="s">
        <v>65</v>
      </c>
      <c r="B62" s="54"/>
      <c r="C62" s="216" t="s">
        <v>1</v>
      </c>
      <c r="D62" s="296">
        <v>0.1</v>
      </c>
      <c r="E62" s="296">
        <v>0.5</v>
      </c>
      <c r="F62" s="296">
        <v>1</v>
      </c>
      <c r="G62" s="296">
        <v>2</v>
      </c>
      <c r="H62" s="296">
        <v>3</v>
      </c>
      <c r="I62" s="296">
        <v>4</v>
      </c>
      <c r="J62" s="296">
        <v>5</v>
      </c>
      <c r="K62" s="296">
        <v>6</v>
      </c>
      <c r="L62" s="296">
        <v>7</v>
      </c>
      <c r="M62" s="296">
        <v>8</v>
      </c>
      <c r="N62" s="296">
        <v>10</v>
      </c>
      <c r="O62" s="296">
        <v>12</v>
      </c>
      <c r="P62" s="296">
        <v>14</v>
      </c>
      <c r="Q62" s="296">
        <v>18</v>
      </c>
      <c r="R62" s="296">
        <v>21</v>
      </c>
      <c r="S62" s="296">
        <v>100</v>
      </c>
      <c r="T62" s="296">
        <v>1000</v>
      </c>
      <c r="U62" s="296">
        <v>10000</v>
      </c>
    </row>
    <row r="63" spans="1:21" ht="14.4" x14ac:dyDescent="0.3">
      <c r="C63" s="1" t="s">
        <v>64</v>
      </c>
      <c r="D63">
        <v>0</v>
      </c>
      <c r="E63">
        <v>1</v>
      </c>
      <c r="F63">
        <v>2</v>
      </c>
      <c r="G63">
        <v>3</v>
      </c>
      <c r="H63">
        <v>4</v>
      </c>
      <c r="I63">
        <v>5</v>
      </c>
      <c r="J63">
        <v>6</v>
      </c>
      <c r="K63">
        <v>7</v>
      </c>
      <c r="L63">
        <v>8</v>
      </c>
      <c r="M63">
        <v>9</v>
      </c>
      <c r="N63">
        <v>10</v>
      </c>
      <c r="O63">
        <v>11</v>
      </c>
      <c r="P63">
        <v>12</v>
      </c>
      <c r="Q63">
        <v>13</v>
      </c>
      <c r="R63">
        <v>14</v>
      </c>
      <c r="S63">
        <v>15</v>
      </c>
      <c r="T63">
        <v>16</v>
      </c>
      <c r="U63">
        <v>17</v>
      </c>
    </row>
    <row r="64" spans="1:21" ht="14.4" x14ac:dyDescent="0.3">
      <c r="A64" s="43">
        <v>2</v>
      </c>
      <c r="B64" s="43"/>
      <c r="C64" s="1"/>
      <c r="D64" s="298">
        <v>1.7291324964220301E-2</v>
      </c>
      <c r="E64" s="298">
        <v>6.6998018440489568E-2</v>
      </c>
      <c r="F64" s="298">
        <v>0.12416560747379798</v>
      </c>
      <c r="G64" s="298">
        <v>0.19164678959143519</v>
      </c>
      <c r="H64" s="298">
        <v>3.2432337711389723E-2</v>
      </c>
      <c r="I64" s="298">
        <v>2.6794917304969575E-2</v>
      </c>
      <c r="J64" s="298">
        <v>1.0787351058726545E-2</v>
      </c>
      <c r="K64" s="298">
        <v>1.5488830696511377E-2</v>
      </c>
      <c r="L64" s="298">
        <v>1.1120918013740941E-2</v>
      </c>
      <c r="M64" s="298">
        <v>1.2571907703050382E-2</v>
      </c>
      <c r="N64" s="298">
        <v>2.636287592484499E-2</v>
      </c>
      <c r="O64" s="298">
        <v>3.9068771982494086E-3</v>
      </c>
      <c r="P64" s="298">
        <v>1.783236037225493E-2</v>
      </c>
      <c r="Q64" s="298">
        <v>6.5715038062707058E-3</v>
      </c>
      <c r="R64" s="298">
        <v>5.7146036546192576E-3</v>
      </c>
      <c r="S64" s="298">
        <v>5.7146036546192576E-3</v>
      </c>
      <c r="T64" s="298">
        <v>5.7146036546192576E-3</v>
      </c>
      <c r="U64" s="298">
        <v>5.7146036546192576E-3</v>
      </c>
    </row>
    <row r="65" spans="1:21" ht="14.4" x14ac:dyDescent="0.3">
      <c r="A65" s="43">
        <v>3</v>
      </c>
      <c r="B65" s="43"/>
      <c r="C65" s="1"/>
      <c r="D65" s="298">
        <v>0.55385104430828935</v>
      </c>
      <c r="E65" s="298">
        <v>8.5473774716319078</v>
      </c>
      <c r="F65" s="298">
        <v>4.3857615521600959</v>
      </c>
      <c r="G65" s="298">
        <v>4.8916763402676038</v>
      </c>
      <c r="H65" s="298">
        <v>5.107248510230364</v>
      </c>
      <c r="I65" s="298">
        <v>6.2072885442798249</v>
      </c>
      <c r="J65" s="298">
        <v>7.7608557639223745</v>
      </c>
      <c r="K65" s="298">
        <v>5.1365577880102951</v>
      </c>
      <c r="L65" s="298">
        <v>3.7115343236794409</v>
      </c>
      <c r="M65" s="298">
        <v>2.8652501742303245</v>
      </c>
      <c r="N65" s="298">
        <v>1.976424393859703</v>
      </c>
      <c r="O65" s="298">
        <v>1.512989131711088</v>
      </c>
      <c r="P65" s="298">
        <v>1.2479844012146544</v>
      </c>
      <c r="Q65" s="298">
        <v>0.90186138282906037</v>
      </c>
      <c r="R65" s="298">
        <v>0.8611207071065603</v>
      </c>
      <c r="S65" s="298">
        <v>0.8611207071065603</v>
      </c>
      <c r="T65" s="298">
        <v>0.8611207071065603</v>
      </c>
      <c r="U65" s="298">
        <v>0.8611207071065603</v>
      </c>
    </row>
    <row r="66" spans="1:21" ht="14.4" x14ac:dyDescent="0.3">
      <c r="A66" s="43">
        <v>4</v>
      </c>
      <c r="B66" s="43"/>
      <c r="C66" s="1"/>
      <c r="D66" s="298">
        <v>0.13520250276733159</v>
      </c>
      <c r="E66" s="298">
        <v>2.8695360144102396E-2</v>
      </c>
      <c r="F66" s="298">
        <v>0.11237654569855723</v>
      </c>
      <c r="G66" s="298">
        <v>0.1270693443534559</v>
      </c>
      <c r="H66" s="298">
        <v>2.9673650735424224E-2</v>
      </c>
      <c r="I66" s="298">
        <v>2.1212221057019379E-2</v>
      </c>
      <c r="J66" s="298">
        <v>1.8916758051922035E-2</v>
      </c>
      <c r="K66" s="298">
        <v>2.4591818946340816E-2</v>
      </c>
      <c r="L66" s="298">
        <v>2.2309871990685983E-2</v>
      </c>
      <c r="M66" s="298">
        <v>1.4672119245636975E-2</v>
      </c>
      <c r="N66" s="298">
        <v>3.4977738354405041E-3</v>
      </c>
      <c r="O66" s="298">
        <v>3.318391374383355E-3</v>
      </c>
      <c r="P66" s="298">
        <v>1.8380050856337499E-2</v>
      </c>
      <c r="Q66" s="298">
        <v>5.7240454854559945E-3</v>
      </c>
      <c r="R66" s="298">
        <v>1.5847873572736098E-3</v>
      </c>
      <c r="S66" s="298">
        <v>1.5847873572736098E-3</v>
      </c>
      <c r="T66" s="298">
        <v>1.5847873572736098E-3</v>
      </c>
      <c r="U66" s="298">
        <v>1.5847873572736098E-3</v>
      </c>
    </row>
    <row r="67" spans="1:21" ht="14.4" x14ac:dyDescent="0.3">
      <c r="A67" s="43">
        <v>5</v>
      </c>
      <c r="B67" s="43"/>
      <c r="C67" s="1"/>
      <c r="D67" s="298">
        <v>93.368748010282204</v>
      </c>
      <c r="E67" s="298">
        <v>82.87682728374898</v>
      </c>
      <c r="F67" s="298">
        <v>73.247221838386295</v>
      </c>
      <c r="G67" s="298">
        <v>60.831459052554194</v>
      </c>
      <c r="H67" s="298">
        <v>49.382828970020235</v>
      </c>
      <c r="I67" s="298">
        <v>41.72752692184784</v>
      </c>
      <c r="J67" s="298">
        <v>37.27946499417164</v>
      </c>
      <c r="K67" s="298">
        <v>34.240442443062605</v>
      </c>
      <c r="L67" s="298">
        <v>31.801834469310585</v>
      </c>
      <c r="M67" s="298">
        <v>29.833911528390878</v>
      </c>
      <c r="N67" s="298">
        <v>26.829447444032468</v>
      </c>
      <c r="O67" s="298">
        <v>24.524377947577921</v>
      </c>
      <c r="P67" s="298">
        <v>22.666145948519805</v>
      </c>
      <c r="Q67" s="298">
        <v>19.683481307529799</v>
      </c>
      <c r="R67" s="298">
        <v>19.55420880107971</v>
      </c>
      <c r="S67" s="298">
        <v>19.55420880107971</v>
      </c>
      <c r="T67" s="298">
        <v>19.55420880107971</v>
      </c>
      <c r="U67" s="298">
        <v>19.55420880107971</v>
      </c>
    </row>
    <row r="68" spans="1:21" ht="14.4" x14ac:dyDescent="0.3">
      <c r="A68" s="43">
        <v>6</v>
      </c>
      <c r="B68" s="43"/>
      <c r="C68" s="1"/>
      <c r="D68" s="298">
        <v>6.8818496078623531E-2</v>
      </c>
      <c r="E68" s="298">
        <v>5.2936191485114158E-2</v>
      </c>
      <c r="F68" s="298">
        <v>7.0102641631974985E-3</v>
      </c>
      <c r="G68" s="298">
        <v>1.1862351899176933E-2</v>
      </c>
      <c r="H68" s="298">
        <v>1.9222702695116914E-3</v>
      </c>
      <c r="I68" s="298">
        <v>1.1087146410300954E-2</v>
      </c>
      <c r="J68" s="298">
        <v>6.7285132893848583E-3</v>
      </c>
      <c r="K68" s="298">
        <v>4.5194792975590103E-3</v>
      </c>
      <c r="L68" s="298">
        <v>6.0169639857389576E-3</v>
      </c>
      <c r="M68" s="298">
        <v>7.3330327729595772E-3</v>
      </c>
      <c r="N68" s="298">
        <v>4.9368015428742544E-3</v>
      </c>
      <c r="O68" s="298">
        <v>2.1005572354824645E-3</v>
      </c>
      <c r="P68" s="298">
        <v>9.2816222816082712E-3</v>
      </c>
      <c r="Q68" s="298">
        <v>3.8021989595571734E-3</v>
      </c>
      <c r="R68" s="298">
        <v>2.6949365909897677E-3</v>
      </c>
      <c r="S68" s="298">
        <v>2.6949365909897677E-3</v>
      </c>
      <c r="T68" s="298">
        <v>2.6949365909897677E-3</v>
      </c>
      <c r="U68" s="298">
        <v>2.6949365909897677E-3</v>
      </c>
    </row>
    <row r="69" spans="1:21" ht="14.4" x14ac:dyDescent="0.3">
      <c r="A69" s="43">
        <v>7</v>
      </c>
      <c r="B69" s="43"/>
      <c r="C69" s="1"/>
      <c r="D69" s="298">
        <v>85.792929223620419</v>
      </c>
      <c r="E69" s="298">
        <v>65.67536665068971</v>
      </c>
      <c r="F69" s="298">
        <v>52.471101352240538</v>
      </c>
      <c r="G69" s="298">
        <v>34.473926081721721</v>
      </c>
      <c r="H69" s="298">
        <v>20.70483242585701</v>
      </c>
      <c r="I69" s="298">
        <v>13.8859457017344</v>
      </c>
      <c r="J69" s="298">
        <v>10.407370469722119</v>
      </c>
      <c r="K69" s="298">
        <v>8.4234250472584673</v>
      </c>
      <c r="L69" s="298">
        <v>7.3447486655802345</v>
      </c>
      <c r="M69" s="298">
        <v>6.8022663683683335</v>
      </c>
      <c r="N69" s="298">
        <v>6.5166708279323533</v>
      </c>
      <c r="O69" s="298">
        <v>6.6273860488121423</v>
      </c>
      <c r="P69" s="298">
        <v>6.8022403042729351</v>
      </c>
      <c r="Q69" s="298">
        <v>6.987229811341364</v>
      </c>
      <c r="R69" s="298">
        <v>7.326010337515557</v>
      </c>
      <c r="S69" s="298">
        <v>7.326010337515557</v>
      </c>
      <c r="T69" s="298">
        <v>7.326010337515557</v>
      </c>
      <c r="U69" s="298">
        <v>7.326010337515557</v>
      </c>
    </row>
    <row r="70" spans="1:21" ht="14.4" x14ac:dyDescent="0.3">
      <c r="A70" s="43">
        <v>8</v>
      </c>
      <c r="B70" s="43"/>
      <c r="C70" s="1"/>
      <c r="D70" s="298">
        <v>0.15207091572872264</v>
      </c>
      <c r="E70" s="298">
        <v>5.2891824469196221E-2</v>
      </c>
      <c r="F70" s="298">
        <v>5.7040082585237739E-2</v>
      </c>
      <c r="G70" s="298">
        <v>1.9116049168177565E-2</v>
      </c>
      <c r="H70" s="298">
        <v>2.3564987660073828E-2</v>
      </c>
      <c r="I70" s="298">
        <v>8.5355102461392024E-3</v>
      </c>
      <c r="J70" s="298">
        <v>1.9603945043945102E-2</v>
      </c>
      <c r="K70" s="298">
        <v>1.2636657164619786E-2</v>
      </c>
      <c r="L70" s="298">
        <v>1.0643351525778579E-2</v>
      </c>
      <c r="M70" s="298">
        <v>4.3473848598230228E-3</v>
      </c>
      <c r="N70" s="298">
        <v>2.5415807506222721E-3</v>
      </c>
      <c r="O70" s="298">
        <v>1.2216655309818655E-3</v>
      </c>
      <c r="P70" s="298">
        <v>6.4595461603830819E-3</v>
      </c>
      <c r="Q70" s="298">
        <v>1.3983813924981661E-3</v>
      </c>
      <c r="R70" s="298">
        <v>3.4056178014729927E-3</v>
      </c>
      <c r="S70" s="298">
        <v>3.4056178014729927E-3</v>
      </c>
      <c r="T70" s="298">
        <v>3.4056178014729927E-3</v>
      </c>
      <c r="U70" s="298">
        <v>3.4056178014729927E-3</v>
      </c>
    </row>
    <row r="71" spans="1:21" ht="14.4" x14ac:dyDescent="0.3">
      <c r="A71" s="43">
        <v>9</v>
      </c>
      <c r="B71" s="43"/>
      <c r="C71" s="1"/>
      <c r="D71" s="298">
        <v>1.154353524821659</v>
      </c>
      <c r="E71" s="298">
        <v>3.5914593530271834</v>
      </c>
      <c r="F71" s="298">
        <v>0.66156600737101889</v>
      </c>
      <c r="G71" s="298">
        <v>0.60368769264829547</v>
      </c>
      <c r="H71" s="298">
        <v>0.42447764331950832</v>
      </c>
      <c r="I71" s="298">
        <v>1.0648962156533353</v>
      </c>
      <c r="J71" s="298">
        <v>1.5532650518305111</v>
      </c>
      <c r="K71" s="298">
        <v>0.98716445545758624</v>
      </c>
      <c r="L71" s="298">
        <v>0.68104076968532634</v>
      </c>
      <c r="M71" s="298">
        <v>0.50610374236669098</v>
      </c>
      <c r="N71" s="298">
        <v>0.31868142208094846</v>
      </c>
      <c r="O71" s="298">
        <v>0.22626624756676589</v>
      </c>
      <c r="P71" s="298">
        <v>0.1789795622711387</v>
      </c>
      <c r="Q71" s="298">
        <v>0.13966052871548112</v>
      </c>
      <c r="R71" s="298">
        <v>0.13247290047204982</v>
      </c>
      <c r="S71" s="298">
        <v>0.13247290047204982</v>
      </c>
      <c r="T71" s="298">
        <v>0.13247290047204982</v>
      </c>
      <c r="U71" s="298">
        <v>0.13247290047204982</v>
      </c>
    </row>
    <row r="72" spans="1:21" ht="14.4" x14ac:dyDescent="0.3">
      <c r="A72" s="43">
        <v>10</v>
      </c>
      <c r="B72" s="43"/>
      <c r="C72" s="1"/>
      <c r="D72" s="298">
        <v>0.2294007148283545</v>
      </c>
      <c r="E72" s="298">
        <v>4.67408371331944E-2</v>
      </c>
      <c r="F72" s="298">
        <v>3.9171017790739594E-2</v>
      </c>
      <c r="G72" s="298">
        <v>3.1896110289054799E-2</v>
      </c>
      <c r="H72" s="298">
        <v>9.7072760067846587E-3</v>
      </c>
      <c r="I72" s="298">
        <v>1.3760275349404955E-2</v>
      </c>
      <c r="J72" s="298">
        <v>1.2351163020258928E-2</v>
      </c>
      <c r="K72" s="298">
        <v>7.8770677291336265E-3</v>
      </c>
      <c r="L72" s="298">
        <v>6.6241460677741474E-3</v>
      </c>
      <c r="M72" s="298">
        <v>9.5446111698385379E-4</v>
      </c>
      <c r="N72" s="298">
        <v>5.9000829249238182E-3</v>
      </c>
      <c r="O72" s="298">
        <v>2.8410236973985879E-3</v>
      </c>
      <c r="P72" s="298">
        <v>3.0933034144878684E-3</v>
      </c>
      <c r="Q72" s="298">
        <v>1.7024651539385351E-3</v>
      </c>
      <c r="R72" s="298">
        <v>3.8405411483555876E-3</v>
      </c>
      <c r="S72" s="298">
        <v>3.8405411483555876E-3</v>
      </c>
      <c r="T72" s="298">
        <v>3.8405411483555876E-3</v>
      </c>
      <c r="U72" s="298">
        <v>3.8405411483555876E-3</v>
      </c>
    </row>
    <row r="73" spans="1:21" ht="14.4" x14ac:dyDescent="0.3">
      <c r="A73" s="43">
        <v>11</v>
      </c>
      <c r="B73" s="43"/>
      <c r="C73" s="1"/>
      <c r="D73" s="298">
        <v>69.048567707776243</v>
      </c>
      <c r="E73" s="298">
        <v>33.685348584817774</v>
      </c>
      <c r="F73" s="298">
        <v>15.583787301158949</v>
      </c>
      <c r="G73" s="298">
        <v>6.5636008603412694</v>
      </c>
      <c r="H73" s="298">
        <v>7.6797975872700235</v>
      </c>
      <c r="I73" s="298">
        <v>7.4570840283088478</v>
      </c>
      <c r="J73" s="298">
        <v>6.9055670232180777</v>
      </c>
      <c r="K73" s="298">
        <v>6.5341193000171698</v>
      </c>
      <c r="L73" s="298">
        <v>6.0786150094839924</v>
      </c>
      <c r="M73" s="298">
        <v>5.6151234987755405</v>
      </c>
      <c r="N73" s="298">
        <v>4.7731220793376856</v>
      </c>
      <c r="O73" s="298">
        <v>4.037747204995374</v>
      </c>
      <c r="P73" s="298">
        <v>3.4442053406397228</v>
      </c>
      <c r="Q73" s="298">
        <v>2.6571079286057731</v>
      </c>
      <c r="R73" s="298">
        <v>2.6319335627413896</v>
      </c>
      <c r="S73" s="298">
        <v>2.6319335627413896</v>
      </c>
      <c r="T73" s="298">
        <v>2.6319335627413896</v>
      </c>
      <c r="U73" s="298">
        <v>2.6319335627413896</v>
      </c>
    </row>
    <row r="74" spans="1:21" ht="14.4" x14ac:dyDescent="0.3">
      <c r="A74" s="43">
        <v>12</v>
      </c>
      <c r="B74" s="43"/>
      <c r="C74" s="1"/>
      <c r="D74" s="298">
        <v>4.3926126021925166E-2</v>
      </c>
      <c r="E74" s="298">
        <v>1.2877494467594758E-2</v>
      </c>
      <c r="F74" s="298">
        <v>4.5954157397374695E-3</v>
      </c>
      <c r="G74" s="298">
        <v>5.329225146697902E-3</v>
      </c>
      <c r="H74" s="298">
        <v>1.7455825337836627E-3</v>
      </c>
      <c r="I74" s="298">
        <v>6.1922252654432195E-3</v>
      </c>
      <c r="J74" s="298">
        <v>4.6340307760456886E-3</v>
      </c>
      <c r="K74" s="298">
        <v>1.2658928420938899E-3</v>
      </c>
      <c r="L74" s="298">
        <v>7.2345470714335765E-4</v>
      </c>
      <c r="M74" s="298">
        <v>2.8137542278655172E-3</v>
      </c>
      <c r="N74" s="298">
        <v>3.3387817150023614E-3</v>
      </c>
      <c r="O74" s="298">
        <v>7.0415228820549169E-4</v>
      </c>
      <c r="P74" s="298">
        <v>3.2866827675993235E-3</v>
      </c>
      <c r="Q74" s="298">
        <v>2.129932191298423E-3</v>
      </c>
      <c r="R74" s="298">
        <v>3.0726078205235829E-3</v>
      </c>
      <c r="S74" s="298">
        <v>3.0726078205235829E-3</v>
      </c>
      <c r="T74" s="298">
        <v>3.0726078205235829E-3</v>
      </c>
      <c r="U74" s="298">
        <v>3.0726078205235829E-3</v>
      </c>
    </row>
    <row r="75" spans="1:21" ht="14.4" x14ac:dyDescent="0.3">
      <c r="A75" s="43">
        <v>13</v>
      </c>
      <c r="B75" s="43"/>
      <c r="C75" s="1"/>
      <c r="D75" s="298">
        <v>57.626071680473594</v>
      </c>
      <c r="E75" s="298">
        <v>19.008833408591933</v>
      </c>
      <c r="F75" s="298">
        <v>6.0811074483745449</v>
      </c>
      <c r="G75" s="298">
        <v>6.4203508662030933</v>
      </c>
      <c r="H75" s="298">
        <v>4.053836065316168</v>
      </c>
      <c r="I75" s="298">
        <v>3.136813925533426</v>
      </c>
      <c r="J75" s="298">
        <v>3.2687886565984781</v>
      </c>
      <c r="K75" s="298">
        <v>3.1927019928471165</v>
      </c>
      <c r="L75" s="298">
        <v>3.1590323561450395</v>
      </c>
      <c r="M75" s="298">
        <v>3.1114405010378423</v>
      </c>
      <c r="N75" s="298">
        <v>2.9413990501469054</v>
      </c>
      <c r="O75" s="298">
        <v>2.6891381919916104</v>
      </c>
      <c r="P75" s="298">
        <v>2.4129113867682368</v>
      </c>
      <c r="Q75" s="298">
        <v>1.9019132140355048</v>
      </c>
      <c r="R75" s="298">
        <v>1.9731316672454773</v>
      </c>
      <c r="S75" s="298">
        <v>1.9731316672454773</v>
      </c>
      <c r="T75" s="298">
        <v>1.9731316672454773</v>
      </c>
      <c r="U75" s="298">
        <v>1.9731316672454773</v>
      </c>
    </row>
    <row r="76" spans="1:21" ht="14.4" x14ac:dyDescent="0.3">
      <c r="A76" s="43">
        <v>14</v>
      </c>
      <c r="B76" s="43"/>
      <c r="C76" s="1"/>
      <c r="D76" s="298">
        <v>0.20927403927484672</v>
      </c>
      <c r="E76" s="298">
        <v>5.5602611265487843E-2</v>
      </c>
      <c r="F76" s="298">
        <v>4.0150680983375708E-2</v>
      </c>
      <c r="G76" s="298">
        <v>1.1364022598705132E-2</v>
      </c>
      <c r="H76" s="298">
        <v>1.5808693433503308E-2</v>
      </c>
      <c r="I76" s="298">
        <v>1.1300571663228018E-2</v>
      </c>
      <c r="J76" s="298">
        <v>1.3986444352451872E-2</v>
      </c>
      <c r="K76" s="298">
        <v>1.3726550136797936E-2</v>
      </c>
      <c r="L76" s="298">
        <v>1.2922710779955417E-2</v>
      </c>
      <c r="M76" s="298">
        <v>6.7573395777536377E-3</v>
      </c>
      <c r="N76" s="298">
        <v>6.0541163970223889E-3</v>
      </c>
      <c r="O76" s="298">
        <v>8.8566143641728831E-4</v>
      </c>
      <c r="P76" s="298">
        <v>4.5856434142929501E-3</v>
      </c>
      <c r="Q76" s="298">
        <v>2.3769049086772155E-3</v>
      </c>
      <c r="R76" s="298">
        <v>2.1687917940923906E-3</v>
      </c>
      <c r="S76" s="298">
        <v>2.1687917940923906E-3</v>
      </c>
      <c r="T76" s="298">
        <v>2.1687917940923906E-3</v>
      </c>
      <c r="U76" s="298">
        <v>2.1687917940923906E-3</v>
      </c>
    </row>
    <row r="77" spans="1:21" ht="14.4" x14ac:dyDescent="0.3">
      <c r="A77" s="43">
        <v>15</v>
      </c>
      <c r="B77" s="43"/>
      <c r="C77" s="1"/>
      <c r="D77" s="298">
        <v>1.136851568371505</v>
      </c>
      <c r="E77" s="298">
        <v>0.23095610968918576</v>
      </c>
      <c r="F77" s="298">
        <v>0.45935010470309795</v>
      </c>
      <c r="G77" s="298">
        <v>0.33979479464125767</v>
      </c>
      <c r="H77" s="298">
        <v>0.19877874639876153</v>
      </c>
      <c r="I77" s="298">
        <v>0.6117370588990978</v>
      </c>
      <c r="J77" s="298">
        <v>0.7739736036483279</v>
      </c>
      <c r="K77" s="298">
        <v>0.47689818111624066</v>
      </c>
      <c r="L77" s="298">
        <v>0.32445444976062632</v>
      </c>
      <c r="M77" s="298">
        <v>0.24590737646040681</v>
      </c>
      <c r="N77" s="298">
        <v>0.17863761703347875</v>
      </c>
      <c r="O77" s="298">
        <v>0.15238590146764369</v>
      </c>
      <c r="P77" s="298">
        <v>0.13879587874692803</v>
      </c>
      <c r="Q77" s="298">
        <v>0.10849930149243135</v>
      </c>
      <c r="R77" s="298">
        <v>0.10438708261063094</v>
      </c>
      <c r="S77" s="298">
        <v>0.10438708261063094</v>
      </c>
      <c r="T77" s="298">
        <v>0.10438708261063094</v>
      </c>
      <c r="U77" s="298">
        <v>0.10438708261063094</v>
      </c>
    </row>
    <row r="78" spans="1:21" ht="14.4" x14ac:dyDescent="0.3">
      <c r="A78" s="43">
        <v>16</v>
      </c>
      <c r="B78" s="43"/>
      <c r="C78" s="1"/>
      <c r="D78" s="298">
        <v>0.21260480542905863</v>
      </c>
      <c r="E78" s="298">
        <v>5.5251059810874539E-2</v>
      </c>
      <c r="F78" s="298">
        <v>2.9549060045343564E-2</v>
      </c>
      <c r="G78" s="298">
        <v>1.9149260351853523E-2</v>
      </c>
      <c r="H78" s="298">
        <v>8.8894084206710914E-3</v>
      </c>
      <c r="I78" s="298">
        <v>9.8004503653837914E-3</v>
      </c>
      <c r="J78" s="298">
        <v>9.3355107602731344E-3</v>
      </c>
      <c r="K78" s="298">
        <v>1.1176506405604431E-2</v>
      </c>
      <c r="L78" s="298">
        <v>1.0797812516310075E-2</v>
      </c>
      <c r="M78" s="298">
        <v>4.9258459762198314E-3</v>
      </c>
      <c r="N78" s="298">
        <v>1.5412362332936629E-3</v>
      </c>
      <c r="O78" s="298">
        <v>1.7707278526791228E-3</v>
      </c>
      <c r="P78" s="298">
        <v>3.8905467511792919E-3</v>
      </c>
      <c r="Q78" s="298">
        <v>3.1270051788819786E-3</v>
      </c>
      <c r="R78" s="298">
        <v>2.7546885466757905E-3</v>
      </c>
      <c r="S78" s="298">
        <v>2.7546885466757905E-3</v>
      </c>
      <c r="T78" s="298">
        <v>2.7546885466757905E-3</v>
      </c>
      <c r="U78" s="298">
        <v>2.7546885466757905E-3</v>
      </c>
    </row>
    <row r="79" spans="1:21" ht="14.4" x14ac:dyDescent="0.3">
      <c r="A79" s="43">
        <v>17</v>
      </c>
      <c r="B79" s="43"/>
      <c r="C79" s="1"/>
      <c r="D79" s="299">
        <v>38.305868434141544</v>
      </c>
      <c r="E79" s="298">
        <v>5.2999903687276673</v>
      </c>
      <c r="F79" s="298">
        <v>6.2578007441416821</v>
      </c>
      <c r="G79" s="299">
        <v>3.651615692351549</v>
      </c>
      <c r="H79" s="299">
        <v>3.9361368606820331</v>
      </c>
      <c r="I79" s="299">
        <v>3.5365888642625669</v>
      </c>
      <c r="J79" s="298">
        <v>2.7954962272937816</v>
      </c>
      <c r="K79" s="298">
        <v>2.4617473384512585</v>
      </c>
      <c r="L79" s="298">
        <v>2.1281057585635259</v>
      </c>
      <c r="M79" s="298">
        <v>1.850567348179557</v>
      </c>
      <c r="N79" s="299">
        <v>1.5324828885585096</v>
      </c>
      <c r="O79" s="298">
        <v>1.4251739565426205</v>
      </c>
      <c r="P79" s="298">
        <v>1.4117622874341469</v>
      </c>
      <c r="Q79" s="298">
        <v>1.3485789449567889</v>
      </c>
      <c r="R79" s="298">
        <v>1.3516864824509252</v>
      </c>
      <c r="S79" s="298">
        <v>1.3516864824509252</v>
      </c>
      <c r="T79" s="298">
        <v>1.3516864824509252</v>
      </c>
      <c r="U79" s="298">
        <v>1.3516864824509252</v>
      </c>
    </row>
    <row r="80" spans="1:21" ht="14.4" x14ac:dyDescent="0.3">
      <c r="A80" s="43">
        <v>18</v>
      </c>
      <c r="B80" s="43"/>
      <c r="C80" s="1"/>
      <c r="D80" s="298">
        <v>6.8073317161051342E-3</v>
      </c>
      <c r="E80" s="298">
        <v>4.4855023970696963E-3</v>
      </c>
      <c r="F80" s="298">
        <v>3.7080452251308581E-3</v>
      </c>
      <c r="G80" s="298">
        <v>4.1891794258732719E-3</v>
      </c>
      <c r="H80" s="298">
        <v>2.5800652861531514E-3</v>
      </c>
      <c r="I80" s="298">
        <v>5.1323452366736095E-3</v>
      </c>
      <c r="J80" s="298">
        <v>3.2624660891922676E-3</v>
      </c>
      <c r="K80" s="298">
        <v>9.7248963017647263E-4</v>
      </c>
      <c r="L80" s="298">
        <v>5.3824967182370125E-4</v>
      </c>
      <c r="M80" s="298">
        <v>3.4207800467921257E-3</v>
      </c>
      <c r="N80" s="298">
        <v>2.3022193218101682E-3</v>
      </c>
      <c r="O80" s="298">
        <v>7.1766985210155283E-4</v>
      </c>
      <c r="P80" s="298">
        <v>1.6747979107749516E-3</v>
      </c>
      <c r="Q80" s="298">
        <v>1.0243399597807483E-3</v>
      </c>
      <c r="R80" s="298">
        <v>2.7645882744071495E-3</v>
      </c>
      <c r="S80" s="298">
        <v>2.7645882744071495E-3</v>
      </c>
      <c r="T80" s="298">
        <v>2.7645882744071495E-3</v>
      </c>
      <c r="U80" s="298">
        <v>2.7645882744071495E-3</v>
      </c>
    </row>
    <row r="81" spans="1:21" ht="14.4" x14ac:dyDescent="0.3">
      <c r="A81" s="43">
        <v>19</v>
      </c>
      <c r="B81" s="43"/>
      <c r="C81" s="1"/>
      <c r="D81" s="298">
        <v>28.12675018493254</v>
      </c>
      <c r="E81" s="298">
        <v>5.7694235730205383</v>
      </c>
      <c r="F81" s="298">
        <v>4.4923444139523241</v>
      </c>
      <c r="G81" s="298">
        <v>2.461818140179882</v>
      </c>
      <c r="H81" s="298">
        <v>1.5612033953483941</v>
      </c>
      <c r="I81" s="298">
        <v>1.435344927819425</v>
      </c>
      <c r="J81" s="298">
        <v>1.8152549557696753</v>
      </c>
      <c r="K81" s="298">
        <v>1.7533389509717254</v>
      </c>
      <c r="L81" s="298">
        <v>1.6441205577377018</v>
      </c>
      <c r="M81" s="298">
        <v>1.5015094716885002</v>
      </c>
      <c r="N81" s="298">
        <v>1.1978760529333901</v>
      </c>
      <c r="O81" s="298">
        <v>0.96493434637770215</v>
      </c>
      <c r="P81" s="298">
        <v>0.86230538911097832</v>
      </c>
      <c r="Q81" s="298">
        <v>0.87143134542122158</v>
      </c>
      <c r="R81" s="298">
        <v>0.89423887387252965</v>
      </c>
      <c r="S81" s="298">
        <v>0.89423887387252965</v>
      </c>
      <c r="T81" s="298">
        <v>0.89423887387252965</v>
      </c>
      <c r="U81" s="298">
        <v>0.89423887387252965</v>
      </c>
    </row>
    <row r="82" spans="1:21" ht="14.4" x14ac:dyDescent="0.3">
      <c r="A82" s="43">
        <v>20</v>
      </c>
      <c r="B82" s="43"/>
      <c r="C82" s="1"/>
      <c r="D82" s="298">
        <v>0.16228025606892954</v>
      </c>
      <c r="E82" s="298">
        <v>3.4304595434386999E-2</v>
      </c>
      <c r="F82" s="298">
        <v>3.603503131369204E-2</v>
      </c>
      <c r="G82" s="298">
        <v>1.3414457398225953E-2</v>
      </c>
      <c r="H82" s="298">
        <v>1.3820648138552563E-2</v>
      </c>
      <c r="I82" s="298">
        <v>1.2553645285502412E-2</v>
      </c>
      <c r="J82" s="298">
        <v>1.1519216055600136E-2</v>
      </c>
      <c r="K82" s="298">
        <v>1.2482583619361326E-2</v>
      </c>
      <c r="L82" s="298">
        <v>1.0659586926913772E-2</v>
      </c>
      <c r="M82" s="298">
        <v>3.9990621565117561E-3</v>
      </c>
      <c r="N82" s="298">
        <v>4.289924599988241E-3</v>
      </c>
      <c r="O82" s="298">
        <v>2.3631359410929234E-3</v>
      </c>
      <c r="P82" s="298">
        <v>2.0372139828744758E-3</v>
      </c>
      <c r="Q82" s="298">
        <v>2.6099379219788315E-3</v>
      </c>
      <c r="R82" s="298">
        <v>3.3164014470484933E-3</v>
      </c>
      <c r="S82" s="298">
        <v>3.3164014470484933E-3</v>
      </c>
      <c r="T82" s="298">
        <v>3.3164014470484933E-3</v>
      </c>
      <c r="U82" s="298">
        <v>3.3164014470484933E-3</v>
      </c>
    </row>
    <row r="83" spans="1:21" ht="14.4" x14ac:dyDescent="0.3">
      <c r="A83" s="43">
        <v>21</v>
      </c>
      <c r="B83" s="43"/>
      <c r="C83" s="1"/>
      <c r="D83" s="298">
        <v>0.62329316321319206</v>
      </c>
      <c r="E83" s="298">
        <v>0.38652912360520963</v>
      </c>
      <c r="F83" s="298">
        <v>0.28848587809075404</v>
      </c>
      <c r="G83" s="298">
        <v>0.2327624797312611</v>
      </c>
      <c r="H83" s="298">
        <v>0.12695962714013889</v>
      </c>
      <c r="I83" s="298">
        <v>0.43156831387325317</v>
      </c>
      <c r="J83" s="298">
        <v>0.51232861946084751</v>
      </c>
      <c r="K83" s="298">
        <v>0.33639919482821595</v>
      </c>
      <c r="L83" s="298">
        <v>0.24976274080004948</v>
      </c>
      <c r="M83" s="298">
        <v>0.20143664947276263</v>
      </c>
      <c r="N83" s="298">
        <v>0.14886071320433725</v>
      </c>
      <c r="O83" s="298">
        <v>0.11057082122039739</v>
      </c>
      <c r="P83" s="298">
        <v>8.69095877563483E-2</v>
      </c>
      <c r="Q83" s="298">
        <v>6.469840401868561E-2</v>
      </c>
      <c r="R83" s="298">
        <v>6.207334554446476E-2</v>
      </c>
      <c r="S83" s="298">
        <v>6.207334554446476E-2</v>
      </c>
      <c r="T83" s="298">
        <v>6.207334554446476E-2</v>
      </c>
      <c r="U83" s="298">
        <v>6.207334554446476E-2</v>
      </c>
    </row>
    <row r="84" spans="1:21" ht="14.4" x14ac:dyDescent="0.3">
      <c r="A84" s="43">
        <v>22</v>
      </c>
      <c r="B84" s="43"/>
      <c r="C84" s="1"/>
      <c r="D84" s="298">
        <v>0.10196628651957353</v>
      </c>
      <c r="E84" s="298">
        <v>3.8702088424270906E-2</v>
      </c>
      <c r="F84" s="298">
        <v>3.2940823141321553E-2</v>
      </c>
      <c r="G84" s="298">
        <v>1.4397088226243407E-2</v>
      </c>
      <c r="H84" s="298">
        <v>8.0433131135157904E-3</v>
      </c>
      <c r="I84" s="298">
        <v>9.1411482785596215E-3</v>
      </c>
      <c r="J84" s="298">
        <v>1.3328297513609087E-2</v>
      </c>
      <c r="K84" s="298">
        <v>9.9334339431091864E-3</v>
      </c>
      <c r="L84" s="298">
        <v>8.7776949548354632E-3</v>
      </c>
      <c r="M84" s="298">
        <v>2.8422690440152187E-3</v>
      </c>
      <c r="N84" s="298">
        <v>1.7693174251628295E-3</v>
      </c>
      <c r="O84" s="298">
        <v>2.3683965026528521E-3</v>
      </c>
      <c r="P84" s="298">
        <v>2.2687748359132434E-3</v>
      </c>
      <c r="Q84" s="298">
        <v>3.2956893394252857E-3</v>
      </c>
      <c r="R84" s="298">
        <v>3.1845733198832878E-3</v>
      </c>
      <c r="S84" s="298">
        <v>3.1845733198832878E-3</v>
      </c>
      <c r="T84" s="298">
        <v>3.1845733198832878E-3</v>
      </c>
      <c r="U84" s="298">
        <v>3.1845733198832878E-3</v>
      </c>
    </row>
    <row r="85" spans="1:21" ht="14.4" x14ac:dyDescent="0.3">
      <c r="A85" s="43">
        <v>23</v>
      </c>
      <c r="B85" s="43"/>
      <c r="C85" s="1"/>
      <c r="D85" s="298">
        <v>14.111336248333169</v>
      </c>
      <c r="E85" s="298">
        <v>4.5502762773923147</v>
      </c>
      <c r="F85" s="298">
        <v>2.8173069900787024</v>
      </c>
      <c r="G85" s="298">
        <v>2.0670952688936821</v>
      </c>
      <c r="H85" s="298">
        <v>2.2928087910650583</v>
      </c>
      <c r="I85" s="298">
        <v>1.9472020944612196</v>
      </c>
      <c r="J85" s="298">
        <v>1.3645089433593613</v>
      </c>
      <c r="K85" s="298">
        <v>1.1709027163413299</v>
      </c>
      <c r="L85" s="298">
        <v>1.0449622436221531</v>
      </c>
      <c r="M85" s="298">
        <v>0.98668776275695924</v>
      </c>
      <c r="N85" s="298">
        <v>0.97151910927620677</v>
      </c>
      <c r="O85" s="298">
        <v>0.91499109629030073</v>
      </c>
      <c r="P85" s="298">
        <v>0.81941237005377587</v>
      </c>
      <c r="Q85" s="298">
        <v>0.64151011524075341</v>
      </c>
      <c r="R85" s="298">
        <v>0.64347399672352978</v>
      </c>
      <c r="S85" s="298">
        <v>0.64347399672352978</v>
      </c>
      <c r="T85" s="298">
        <v>0.64347399672352978</v>
      </c>
      <c r="U85" s="298">
        <v>0.64347399672352978</v>
      </c>
    </row>
    <row r="86" spans="1:21" ht="14.4" x14ac:dyDescent="0.3">
      <c r="A86" s="43">
        <v>24</v>
      </c>
      <c r="B86" s="43"/>
      <c r="C86" s="1"/>
      <c r="D86" s="298">
        <v>3.6824454901743818E-2</v>
      </c>
      <c r="E86" s="298">
        <v>9.8382681602157043E-3</v>
      </c>
      <c r="F86" s="298">
        <v>2.4869442257516557E-3</v>
      </c>
      <c r="G86" s="298">
        <v>3.7823320015961076E-3</v>
      </c>
      <c r="H86" s="298">
        <v>3.0035667733548503E-3</v>
      </c>
      <c r="I86" s="298">
        <v>5.3235417328994826E-3</v>
      </c>
      <c r="J86" s="298">
        <v>5.8116700278296428E-3</v>
      </c>
      <c r="K86" s="298">
        <v>2.9855222275943743E-3</v>
      </c>
      <c r="L86" s="298">
        <v>2.3272957918215429E-3</v>
      </c>
      <c r="M86" s="298">
        <v>3.1075268606800422E-3</v>
      </c>
      <c r="N86" s="298">
        <v>1.6642059470906843E-3</v>
      </c>
      <c r="O86" s="298">
        <v>5.0465814106315395E-4</v>
      </c>
      <c r="P86" s="298">
        <v>2.4652728971896356E-3</v>
      </c>
      <c r="Q86" s="298">
        <v>5.6815989694872823E-4</v>
      </c>
      <c r="R86" s="298">
        <v>2.910084521893625E-3</v>
      </c>
      <c r="S86" s="298">
        <v>2.910084521893625E-3</v>
      </c>
      <c r="T86" s="298">
        <v>2.910084521893625E-3</v>
      </c>
      <c r="U86" s="298">
        <v>2.910084521893625E-3</v>
      </c>
    </row>
    <row r="87" spans="1:21" ht="14.4" x14ac:dyDescent="0.3">
      <c r="A87" s="43">
        <v>25</v>
      </c>
      <c r="B87" s="43"/>
      <c r="C87" s="1"/>
      <c r="D87" s="298">
        <v>9.1460847189836905</v>
      </c>
      <c r="E87" s="298">
        <v>3.3287755929835949</v>
      </c>
      <c r="F87" s="298">
        <v>2.4769082641614584</v>
      </c>
      <c r="G87" s="298">
        <v>1.4065816239828657</v>
      </c>
      <c r="H87" s="298">
        <v>0.9812541545579192</v>
      </c>
      <c r="I87" s="298">
        <v>0.87516515937476913</v>
      </c>
      <c r="J87" s="298">
        <v>1.0203047520164361</v>
      </c>
      <c r="K87" s="298">
        <v>0.89181945133108653</v>
      </c>
      <c r="L87" s="298">
        <v>0.77335390981045959</v>
      </c>
      <c r="M87" s="298">
        <v>0.680943962179267</v>
      </c>
      <c r="N87" s="298">
        <v>0.60410783726699213</v>
      </c>
      <c r="O87" s="298">
        <v>0.59625159344747769</v>
      </c>
      <c r="P87" s="298">
        <v>0.57911197721694829</v>
      </c>
      <c r="Q87" s="298">
        <v>0.47588131924725879</v>
      </c>
      <c r="R87" s="298">
        <v>0.48332856078705327</v>
      </c>
      <c r="S87" s="298">
        <v>0.48332856078705327</v>
      </c>
      <c r="T87" s="298">
        <v>0.48332856078705327</v>
      </c>
      <c r="U87" s="298">
        <v>0.48332856078705327</v>
      </c>
    </row>
    <row r="88" spans="1:21" ht="14.4" x14ac:dyDescent="0.3">
      <c r="A88" s="43">
        <v>26</v>
      </c>
      <c r="B88" s="43"/>
      <c r="C88" s="1"/>
      <c r="D88" s="298">
        <v>5.0821504219815294E-2</v>
      </c>
      <c r="E88" s="298">
        <v>5.5062549483802257E-2</v>
      </c>
      <c r="F88" s="298">
        <v>2.6569838221547654E-2</v>
      </c>
      <c r="G88" s="298">
        <v>1.7180710354120391E-2</v>
      </c>
      <c r="H88" s="298">
        <v>1.4413765296386657E-2</v>
      </c>
      <c r="I88" s="298">
        <v>1.340051166752103E-2</v>
      </c>
      <c r="J88" s="298">
        <v>1.2261667576280695E-2</v>
      </c>
      <c r="K88" s="298">
        <v>1.1494261330574136E-2</v>
      </c>
      <c r="L88" s="298">
        <v>1.1502164549246671E-2</v>
      </c>
      <c r="M88" s="298">
        <v>6.3586835670058186E-3</v>
      </c>
      <c r="N88" s="298">
        <v>5.7283366829020497E-3</v>
      </c>
      <c r="O88" s="298">
        <v>1.4156391535011382E-3</v>
      </c>
      <c r="P88" s="298">
        <v>2.35923526977449E-3</v>
      </c>
      <c r="Q88" s="298">
        <v>3.048115692564884E-3</v>
      </c>
      <c r="R88" s="298">
        <v>2.505817916151253E-3</v>
      </c>
      <c r="S88" s="298">
        <v>2.505817916151253E-3</v>
      </c>
      <c r="T88" s="298">
        <v>2.505817916151253E-3</v>
      </c>
      <c r="U88" s="298">
        <v>2.505817916151253E-3</v>
      </c>
    </row>
    <row r="89" spans="1:21" ht="14.4" x14ac:dyDescent="0.3">
      <c r="A89" s="43">
        <v>27</v>
      </c>
      <c r="B89" s="43"/>
      <c r="C89" s="1"/>
      <c r="D89" s="298">
        <v>0.21238680360962095</v>
      </c>
      <c r="E89" s="298">
        <v>0.25707405179893289</v>
      </c>
      <c r="F89" s="298">
        <v>0.16073741316951387</v>
      </c>
      <c r="G89" s="298">
        <v>0.17380962651022741</v>
      </c>
      <c r="H89" s="298">
        <v>9.1193806224074303E-2</v>
      </c>
      <c r="I89" s="298">
        <v>0.33088372878460953</v>
      </c>
      <c r="J89" s="298">
        <v>0.40809218499146371</v>
      </c>
      <c r="K89" s="298">
        <v>0.28326195110267732</v>
      </c>
      <c r="L89" s="298">
        <v>0.20563582476045428</v>
      </c>
      <c r="M89" s="298">
        <v>0.15760505021576746</v>
      </c>
      <c r="N89" s="298">
        <v>9.9377043514666238E-2</v>
      </c>
      <c r="O89" s="298">
        <v>7.5391622206023953E-2</v>
      </c>
      <c r="P89" s="298">
        <v>6.8011485955306775E-2</v>
      </c>
      <c r="Q89" s="298">
        <v>5.56664765461901E-2</v>
      </c>
      <c r="R89" s="298">
        <v>5.3354821022066533E-2</v>
      </c>
      <c r="S89" s="298">
        <v>5.3354821022066533E-2</v>
      </c>
      <c r="T89" s="298">
        <v>5.3354821022066533E-2</v>
      </c>
      <c r="U89" s="298">
        <v>5.3354821022066533E-2</v>
      </c>
    </row>
    <row r="90" spans="1:21" ht="14.4" x14ac:dyDescent="0.3">
      <c r="A90" s="43">
        <v>28</v>
      </c>
      <c r="B90" s="43"/>
      <c r="C90" s="1"/>
      <c r="D90" s="298">
        <v>1.9392625777396737E-2</v>
      </c>
      <c r="E90" s="298">
        <v>4.7102518518670457E-2</v>
      </c>
      <c r="F90" s="298">
        <v>2.8971418661601897E-2</v>
      </c>
      <c r="G90" s="298">
        <v>1.1872541264805246E-2</v>
      </c>
      <c r="H90" s="298">
        <v>6.9611130983163278E-3</v>
      </c>
      <c r="I90" s="298">
        <v>8.5362681900183323E-3</v>
      </c>
      <c r="J90" s="298">
        <v>1.2556658041302614E-2</v>
      </c>
      <c r="K90" s="298">
        <v>1.0537656791068419E-2</v>
      </c>
      <c r="L90" s="298">
        <v>9.2930775732190107E-3</v>
      </c>
      <c r="M90" s="298">
        <v>3.3090135809581808E-3</v>
      </c>
      <c r="N90" s="298">
        <v>8.4429509332862738E-4</v>
      </c>
      <c r="O90" s="298">
        <v>1.7536756837702497E-3</v>
      </c>
      <c r="P90" s="298">
        <v>1.2486380283558422E-3</v>
      </c>
      <c r="Q90" s="298">
        <v>3.2293207653354824E-3</v>
      </c>
      <c r="R90" s="298">
        <v>2.7333925969108054E-3</v>
      </c>
      <c r="S90" s="298">
        <v>2.7333925969108054E-3</v>
      </c>
      <c r="T90" s="298">
        <v>2.7333925969108054E-3</v>
      </c>
      <c r="U90" s="298">
        <v>2.7333925969108054E-3</v>
      </c>
    </row>
    <row r="91" spans="1:21" ht="14.4" x14ac:dyDescent="0.3">
      <c r="A91" s="43">
        <v>29</v>
      </c>
      <c r="B91" s="43"/>
      <c r="C91" s="1"/>
      <c r="D91" s="298">
        <v>6.5146861253923207</v>
      </c>
      <c r="E91" s="298">
        <v>2.6788137999966111</v>
      </c>
      <c r="F91" s="298">
        <v>1.6106667515221753</v>
      </c>
      <c r="G91" s="298">
        <v>1.3975423047728013</v>
      </c>
      <c r="H91" s="298">
        <v>1.3999934630363924</v>
      </c>
      <c r="I91" s="298">
        <v>1.0907850218496227</v>
      </c>
      <c r="J91" s="298">
        <v>0.75870567381450926</v>
      </c>
      <c r="K91" s="298">
        <v>0.75678843679568575</v>
      </c>
      <c r="L91" s="298">
        <v>0.75575983296320848</v>
      </c>
      <c r="M91" s="298">
        <v>0.72478506133268517</v>
      </c>
      <c r="N91" s="298">
        <v>0.61840577400138186</v>
      </c>
      <c r="O91" s="298">
        <v>0.50578743449988961</v>
      </c>
      <c r="P91" s="298">
        <v>0.46727025134098182</v>
      </c>
      <c r="Q91" s="298">
        <v>0.45386743782930422</v>
      </c>
      <c r="R91" s="298">
        <v>0.4514293951690499</v>
      </c>
      <c r="S91" s="298">
        <v>0.4514293951690499</v>
      </c>
      <c r="T91" s="298">
        <v>0.4514293951690499</v>
      </c>
      <c r="U91" s="298">
        <v>0.4514293951690499</v>
      </c>
    </row>
    <row r="92" spans="1:21" ht="14.4" x14ac:dyDescent="0.3">
      <c r="A92" s="43">
        <v>30</v>
      </c>
      <c r="B92" s="43"/>
      <c r="C92" s="1"/>
      <c r="D92" s="298">
        <v>3.4884370898550648E-2</v>
      </c>
      <c r="E92" s="298">
        <v>4.1765772225850796E-3</v>
      </c>
      <c r="F92" s="298">
        <v>3.1945642193693534E-3</v>
      </c>
      <c r="G92" s="298">
        <v>3.60287707209932E-3</v>
      </c>
      <c r="H92" s="298">
        <v>3.2920300374340902E-3</v>
      </c>
      <c r="I92" s="298">
        <v>5.0314868423076246E-3</v>
      </c>
      <c r="J92" s="298">
        <v>4.6053075814346854E-3</v>
      </c>
      <c r="K92" s="298">
        <v>3.6991571943863818E-3</v>
      </c>
      <c r="L92" s="298">
        <v>1.9564019833816105E-3</v>
      </c>
      <c r="M92" s="298">
        <v>2.8717553777810353E-3</v>
      </c>
      <c r="N92" s="298">
        <v>2.6821760992090326E-3</v>
      </c>
      <c r="O92" s="298">
        <v>5.3985110846739104E-4</v>
      </c>
      <c r="P92" s="298">
        <v>8.6189772740157076E-4</v>
      </c>
      <c r="Q92" s="298">
        <v>7.0587971191137216E-4</v>
      </c>
      <c r="R92" s="298">
        <v>2.5967183728580682E-3</v>
      </c>
      <c r="S92" s="298">
        <v>2.5967183728580682E-3</v>
      </c>
      <c r="T92" s="298">
        <v>2.5967183728580682E-3</v>
      </c>
      <c r="U92" s="298">
        <v>2.5967183728580682E-3</v>
      </c>
    </row>
    <row r="93" spans="1:21" ht="14.4" x14ac:dyDescent="0.3">
      <c r="A93" s="43">
        <v>31</v>
      </c>
      <c r="B93" s="43"/>
      <c r="C93" s="1"/>
      <c r="D93" s="298">
        <v>6.3339107327432735</v>
      </c>
      <c r="E93" s="298">
        <v>2.4858685050570775</v>
      </c>
      <c r="F93" s="298">
        <v>1.4322222537619056</v>
      </c>
      <c r="G93" s="298">
        <v>0.82280279165842463</v>
      </c>
      <c r="H93" s="298">
        <v>0.68512353629472578</v>
      </c>
      <c r="I93" s="298">
        <v>0.58112005814292844</v>
      </c>
      <c r="J93" s="298">
        <v>0.56772740214173922</v>
      </c>
      <c r="K93" s="298">
        <v>0.46221863452787271</v>
      </c>
      <c r="L93" s="298">
        <v>0.42486576546865334</v>
      </c>
      <c r="M93" s="298">
        <v>0.43056874893088998</v>
      </c>
      <c r="N93" s="298">
        <v>0.43268010175951643</v>
      </c>
      <c r="O93" s="298">
        <v>0.37617527613812002</v>
      </c>
      <c r="P93" s="298">
        <v>0.31678577460681751</v>
      </c>
      <c r="Q93" s="298">
        <v>0.30877008317967913</v>
      </c>
      <c r="R93" s="298">
        <v>0.3120658886678041</v>
      </c>
      <c r="S93" s="298">
        <v>0.3120658886678041</v>
      </c>
      <c r="T93" s="298">
        <v>0.3120658886678041</v>
      </c>
      <c r="U93" s="298">
        <v>0.3120658886678041</v>
      </c>
    </row>
    <row r="94" spans="1:21" ht="14.4" x14ac:dyDescent="0.3">
      <c r="A94" s="43">
        <v>32</v>
      </c>
      <c r="B94" s="43"/>
      <c r="C94" s="1"/>
      <c r="D94" s="298">
        <v>4.6506205535545839E-2</v>
      </c>
      <c r="E94" s="298">
        <v>3.3260518350729629E-2</v>
      </c>
      <c r="F94" s="298">
        <v>2.9586195514357663E-2</v>
      </c>
      <c r="G94" s="298">
        <v>1.9535797704362808E-2</v>
      </c>
      <c r="H94" s="298">
        <v>1.4563606306652922E-2</v>
      </c>
      <c r="I94" s="298">
        <v>1.305927336868163E-2</v>
      </c>
      <c r="J94" s="298">
        <v>8.8970610246392086E-3</v>
      </c>
      <c r="K94" s="298">
        <v>1.1901375104307985E-2</v>
      </c>
      <c r="L94" s="298">
        <v>1.1921658515740853E-2</v>
      </c>
      <c r="M94" s="298">
        <v>5.9187663071225798E-3</v>
      </c>
      <c r="N94" s="298">
        <v>4.587462629749072E-3</v>
      </c>
      <c r="O94" s="298">
        <v>1.2699646308248702E-3</v>
      </c>
      <c r="P94" s="298">
        <v>2.2444292602197963E-3</v>
      </c>
      <c r="Q94" s="298">
        <v>2.8384966763810126E-3</v>
      </c>
      <c r="R94" s="298">
        <v>2.9287371239286731E-3</v>
      </c>
      <c r="S94" s="298">
        <v>2.9287371239286731E-3</v>
      </c>
      <c r="T94" s="298">
        <v>2.9287371239286731E-3</v>
      </c>
      <c r="U94" s="298">
        <v>2.9287371239286731E-3</v>
      </c>
    </row>
    <row r="95" spans="1:21" ht="14.4" x14ac:dyDescent="0.3">
      <c r="A95" s="43">
        <v>33</v>
      </c>
      <c r="B95" s="43"/>
      <c r="C95" s="1"/>
      <c r="D95" s="298">
        <v>0.30274927892914244</v>
      </c>
      <c r="E95" s="298">
        <v>1.7216657169820748E-2</v>
      </c>
      <c r="F95" s="298">
        <v>0.12233571605865014</v>
      </c>
      <c r="G95" s="298">
        <v>0.13605621192601108</v>
      </c>
      <c r="H95" s="298">
        <v>7.0763148414675126E-2</v>
      </c>
      <c r="I95" s="298">
        <v>0.26563628264177047</v>
      </c>
      <c r="J95" s="298">
        <v>0.34165566585023771</v>
      </c>
      <c r="K95" s="298">
        <v>0.22742267911109676</v>
      </c>
      <c r="L95" s="298">
        <v>0.15381673439332844</v>
      </c>
      <c r="M95" s="298">
        <v>0.11558930646976719</v>
      </c>
      <c r="N95" s="298">
        <v>8.4151409301761251E-2</v>
      </c>
      <c r="O95" s="298">
        <v>6.7503639523961864E-2</v>
      </c>
      <c r="P95" s="298">
        <v>5.6413371607669127E-2</v>
      </c>
      <c r="Q95" s="298">
        <v>4.1647697018963321E-2</v>
      </c>
      <c r="R95" s="298">
        <v>3.9799798597555773E-2</v>
      </c>
      <c r="S95" s="298">
        <v>3.9799798597555773E-2</v>
      </c>
      <c r="T95" s="298">
        <v>3.9799798597555773E-2</v>
      </c>
      <c r="U95" s="298">
        <v>3.9799798597555773E-2</v>
      </c>
    </row>
    <row r="96" spans="1:21" ht="14.4" x14ac:dyDescent="0.3">
      <c r="A96" s="43">
        <v>34</v>
      </c>
      <c r="B96" s="43"/>
      <c r="C96" s="1"/>
      <c r="D96" s="298">
        <v>0.15658261184107439</v>
      </c>
      <c r="E96" s="298">
        <v>6.9206297258360139E-2</v>
      </c>
      <c r="F96" s="298">
        <v>0.11719738000471913</v>
      </c>
      <c r="G96" s="298">
        <v>9.0950515996728487E-2</v>
      </c>
      <c r="H96" s="298">
        <v>5.6069430808107633E-2</v>
      </c>
      <c r="I96" s="298">
        <v>0.18457651004529252</v>
      </c>
      <c r="J96" s="298">
        <v>0.21861320828195963</v>
      </c>
      <c r="K96" s="298">
        <v>0.14805460867942424</v>
      </c>
      <c r="L96" s="298">
        <v>0.10865726471480185</v>
      </c>
      <c r="M96" s="298">
        <v>8.7921961526698345E-2</v>
      </c>
      <c r="N96" s="298">
        <v>5.8256465500538285E-2</v>
      </c>
      <c r="O96" s="298">
        <v>4.4253058727944716E-2</v>
      </c>
      <c r="P96" s="298">
        <v>3.9509788445304235E-2</v>
      </c>
      <c r="Q96" s="298">
        <v>2.9542651780987427E-2</v>
      </c>
      <c r="R96" s="298">
        <v>2.8071591122090556E-2</v>
      </c>
      <c r="S96" s="298">
        <v>2.8071591122090556E-2</v>
      </c>
      <c r="T96" s="298">
        <v>2.8071591122090556E-2</v>
      </c>
      <c r="U96" s="298">
        <v>2.8071591122090556E-2</v>
      </c>
    </row>
    <row r="97" spans="1:21" ht="14.4" x14ac:dyDescent="0.3">
      <c r="A97" s="43">
        <v>35</v>
      </c>
      <c r="B97" s="43"/>
      <c r="C97" s="1"/>
      <c r="D97" s="298">
        <v>5.9029852258662023</v>
      </c>
      <c r="E97" s="298">
        <v>1.4733260588243429</v>
      </c>
      <c r="F97" s="298">
        <v>1.2803616292235322</v>
      </c>
      <c r="G97" s="298">
        <v>1.0290257258239199</v>
      </c>
      <c r="H97" s="298">
        <v>0.95078684693100002</v>
      </c>
      <c r="I97" s="298">
        <v>0.68755518357204037</v>
      </c>
      <c r="J97" s="298">
        <v>0.51648077967213191</v>
      </c>
      <c r="K97" s="298">
        <v>0.5658478637815777</v>
      </c>
      <c r="L97" s="298">
        <v>0.55172205299175037</v>
      </c>
      <c r="M97" s="298">
        <v>0.48796466250698262</v>
      </c>
      <c r="N97" s="298">
        <v>0.39029335703643686</v>
      </c>
      <c r="O97" s="298">
        <v>0.36343466624775511</v>
      </c>
      <c r="P97" s="298">
        <v>0.35166631128246867</v>
      </c>
      <c r="Q97" s="298">
        <v>0.28545240285608292</v>
      </c>
      <c r="R97" s="298">
        <v>0.28281840150514814</v>
      </c>
      <c r="S97" s="298">
        <v>0.28281840150514814</v>
      </c>
      <c r="T97" s="298">
        <v>0.28281840150514814</v>
      </c>
      <c r="U97" s="298">
        <v>0.28281840150514814</v>
      </c>
    </row>
    <row r="98" spans="1:21" ht="14.4" x14ac:dyDescent="0.3">
      <c r="A98" s="43">
        <v>36</v>
      </c>
      <c r="B98" s="43"/>
      <c r="C98" s="1"/>
      <c r="D98" s="298">
        <v>0.15658261184107439</v>
      </c>
      <c r="E98" s="298">
        <v>6.9206297258360139E-2</v>
      </c>
      <c r="F98" s="298">
        <v>0.11719738000471913</v>
      </c>
      <c r="G98" s="298">
        <v>9.0950515996728487E-2</v>
      </c>
      <c r="H98" s="298">
        <v>5.6069430808107633E-2</v>
      </c>
      <c r="I98" s="298">
        <v>0.18457651004529252</v>
      </c>
      <c r="J98" s="298">
        <v>0.21861320828195963</v>
      </c>
      <c r="K98" s="298">
        <v>0.14805460867942424</v>
      </c>
      <c r="L98" s="298">
        <v>0.10865726471480185</v>
      </c>
      <c r="M98" s="298">
        <v>8.7921961526698345E-2</v>
      </c>
      <c r="N98" s="298">
        <v>5.8256465500538285E-2</v>
      </c>
      <c r="O98" s="298">
        <v>4.4253058727944716E-2</v>
      </c>
      <c r="P98" s="298">
        <v>3.9509788445304235E-2</v>
      </c>
      <c r="Q98" s="298">
        <v>2.9542651780987427E-2</v>
      </c>
      <c r="R98" s="298">
        <v>2.8071591122090556E-2</v>
      </c>
      <c r="S98" s="298">
        <v>2.8071591122090556E-2</v>
      </c>
      <c r="T98" s="298">
        <v>2.8071591122090556E-2</v>
      </c>
      <c r="U98" s="298">
        <v>2.8071591122090556E-2</v>
      </c>
    </row>
    <row r="99" spans="1:21" ht="14.4" x14ac:dyDescent="0.3">
      <c r="A99" s="43">
        <v>37</v>
      </c>
      <c r="B99" s="43"/>
      <c r="C99" s="1"/>
      <c r="D99" s="298">
        <v>4.7242605294817244</v>
      </c>
      <c r="E99" s="298">
        <v>1.4147795985274163</v>
      </c>
      <c r="F99" s="298">
        <v>0.86563302172429457</v>
      </c>
      <c r="G99" s="298">
        <v>0.58792408051231626</v>
      </c>
      <c r="H99" s="298">
        <v>0.44571284137714501</v>
      </c>
      <c r="I99" s="298">
        <v>0.35071388358174704</v>
      </c>
      <c r="J99" s="298">
        <v>0.34192356461046053</v>
      </c>
      <c r="K99" s="298">
        <v>0.32136315457507253</v>
      </c>
      <c r="L99" s="298">
        <v>0.32334277343163409</v>
      </c>
      <c r="M99" s="298">
        <v>0.31458122808120276</v>
      </c>
      <c r="N99" s="298">
        <v>0.26038899134139826</v>
      </c>
      <c r="O99" s="298">
        <v>0.23293659142238254</v>
      </c>
      <c r="P99" s="298">
        <v>0.23495243567481122</v>
      </c>
      <c r="Q99" s="298">
        <v>0.1983093021126322</v>
      </c>
      <c r="R99" s="298">
        <v>0.19995839901366486</v>
      </c>
      <c r="S99" s="298">
        <v>0.19995839901366486</v>
      </c>
      <c r="T99" s="298">
        <v>0.19995839901366486</v>
      </c>
      <c r="U99" s="298">
        <v>0.19995839901366486</v>
      </c>
    </row>
    <row r="100" spans="1:21" ht="14.4" x14ac:dyDescent="0.3">
      <c r="A100" s="43">
        <v>38</v>
      </c>
      <c r="B100" s="43"/>
      <c r="C100" s="1"/>
      <c r="D100" s="298">
        <v>0.15658261184107439</v>
      </c>
      <c r="E100" s="298">
        <v>6.9206297258360139E-2</v>
      </c>
      <c r="F100" s="298">
        <v>0.11719738000471913</v>
      </c>
      <c r="G100" s="298">
        <v>9.0950515996728487E-2</v>
      </c>
      <c r="H100" s="298">
        <v>5.6069430808107633E-2</v>
      </c>
      <c r="I100" s="298">
        <v>0.18457651004529252</v>
      </c>
      <c r="J100" s="298">
        <v>0.21861320828195963</v>
      </c>
      <c r="K100" s="298">
        <v>0.14805460867942424</v>
      </c>
      <c r="L100" s="298">
        <v>0.10865726471480185</v>
      </c>
      <c r="M100" s="298">
        <v>8.7921961526698345E-2</v>
      </c>
      <c r="N100" s="298">
        <v>5.8256465500538285E-2</v>
      </c>
      <c r="O100" s="298">
        <v>4.4253058727944716E-2</v>
      </c>
      <c r="P100" s="298">
        <v>3.9509788445304235E-2</v>
      </c>
      <c r="Q100" s="298">
        <v>2.9542651780987427E-2</v>
      </c>
      <c r="R100" s="298">
        <v>2.8071591122090556E-2</v>
      </c>
      <c r="S100" s="298">
        <v>2.8071591122090556E-2</v>
      </c>
      <c r="T100" s="298">
        <v>2.8071591122090556E-2</v>
      </c>
      <c r="U100" s="298">
        <v>2.8071591122090556E-2</v>
      </c>
    </row>
    <row r="101" spans="1:21" ht="14.4" x14ac:dyDescent="0.3">
      <c r="A101" s="43">
        <v>39</v>
      </c>
      <c r="B101" s="43"/>
      <c r="C101" s="1"/>
      <c r="D101" s="298">
        <v>0.2079850899943797</v>
      </c>
      <c r="E101" s="298">
        <v>0.13041647508011303</v>
      </c>
      <c r="F101" s="298">
        <v>0.12947509110634475</v>
      </c>
      <c r="G101" s="298">
        <v>0.11009404781577684</v>
      </c>
      <c r="H101" s="298">
        <v>6.014929527512837E-2</v>
      </c>
      <c r="I101" s="298">
        <v>0.21949671273146126</v>
      </c>
      <c r="J101" s="298">
        <v>0.27640701454444089</v>
      </c>
      <c r="K101" s="298">
        <v>0.17818419975534588</v>
      </c>
      <c r="L101" s="298">
        <v>0.12256174642203793</v>
      </c>
      <c r="M101" s="298">
        <v>9.8387203409769475E-2</v>
      </c>
      <c r="N101" s="298">
        <v>7.1958024598108364E-2</v>
      </c>
      <c r="O101" s="298">
        <v>5.1366620792552581E-2</v>
      </c>
      <c r="P101" s="298">
        <v>4.2850088405828553E-2</v>
      </c>
      <c r="Q101" s="298">
        <v>3.5922322150466021E-2</v>
      </c>
      <c r="R101" s="298">
        <v>3.4556391879303032E-2</v>
      </c>
      <c r="S101" s="298">
        <v>3.4556391879303032E-2</v>
      </c>
      <c r="T101" s="298">
        <v>3.4556391879303032E-2</v>
      </c>
      <c r="U101" s="298">
        <v>3.4556391879303032E-2</v>
      </c>
    </row>
    <row r="102" spans="1:21" ht="14.4" x14ac:dyDescent="0.3">
      <c r="A102" s="43">
        <v>40</v>
      </c>
      <c r="B102" s="43"/>
      <c r="C102" s="1"/>
      <c r="D102" s="298">
        <v>0.15658261184107439</v>
      </c>
      <c r="E102" s="298">
        <v>6.9206297258360139E-2</v>
      </c>
      <c r="F102" s="298">
        <v>0.11719738000471913</v>
      </c>
      <c r="G102" s="298">
        <v>9.0950515996728487E-2</v>
      </c>
      <c r="H102" s="298">
        <v>5.6069430808107633E-2</v>
      </c>
      <c r="I102" s="298">
        <v>0.18457651004529252</v>
      </c>
      <c r="J102" s="298">
        <v>0.21861320828195963</v>
      </c>
      <c r="K102" s="298">
        <v>0.14805460867942424</v>
      </c>
      <c r="L102" s="298">
        <v>0.10865726471480185</v>
      </c>
      <c r="M102" s="298">
        <v>8.7921961526698345E-2</v>
      </c>
      <c r="N102" s="298">
        <v>5.8256465500538285E-2</v>
      </c>
      <c r="O102" s="298">
        <v>4.4253058727944716E-2</v>
      </c>
      <c r="P102" s="298">
        <v>3.9509788445304235E-2</v>
      </c>
      <c r="Q102" s="298">
        <v>2.9542651780987427E-2</v>
      </c>
      <c r="R102" s="298">
        <v>2.8071591122090556E-2</v>
      </c>
      <c r="S102" s="298">
        <v>2.8071591122090556E-2</v>
      </c>
      <c r="T102" s="298">
        <v>2.8071591122090556E-2</v>
      </c>
      <c r="U102" s="298">
        <v>2.8071591122090556E-2</v>
      </c>
    </row>
    <row r="103" spans="1:21" ht="14.4" x14ac:dyDescent="0.3">
      <c r="A103" s="43">
        <v>41</v>
      </c>
      <c r="B103" s="43"/>
      <c r="C103" s="1"/>
      <c r="D103" s="298">
        <v>2.9593523720748518</v>
      </c>
      <c r="E103" s="298">
        <v>1.3960448536050045</v>
      </c>
      <c r="F103" s="298">
        <v>0.9788469484846104</v>
      </c>
      <c r="G103" s="298">
        <v>0.76626902234982497</v>
      </c>
      <c r="H103" s="298">
        <v>0.64986432358583057</v>
      </c>
      <c r="I103" s="298">
        <v>0.49479101470748305</v>
      </c>
      <c r="J103" s="298">
        <v>0.39951328972932304</v>
      </c>
      <c r="K103" s="298">
        <v>0.41594580564321404</v>
      </c>
      <c r="L103" s="298">
        <v>0.37579029347140652</v>
      </c>
      <c r="M103" s="298">
        <v>0.32440122806902955</v>
      </c>
      <c r="N103" s="298">
        <v>0.30529874652047795</v>
      </c>
      <c r="O103" s="298">
        <v>0.272856325769609</v>
      </c>
      <c r="P103" s="298">
        <v>0.23528249165808171</v>
      </c>
      <c r="Q103" s="298">
        <v>0.21930268062364178</v>
      </c>
      <c r="R103" s="298">
        <v>0.21942223358685053</v>
      </c>
      <c r="S103" s="298">
        <v>0.21942223358685053</v>
      </c>
      <c r="T103" s="298">
        <v>0.21942223358685053</v>
      </c>
      <c r="U103" s="298">
        <v>0.21942223358685053</v>
      </c>
    </row>
    <row r="104" spans="1:21" ht="14.4" x14ac:dyDescent="0.3">
      <c r="A104" s="43">
        <v>42</v>
      </c>
      <c r="B104" s="43"/>
      <c r="C104" s="1"/>
      <c r="D104" s="298">
        <v>0.15658261184107439</v>
      </c>
      <c r="E104" s="298">
        <v>6.9206297258360139E-2</v>
      </c>
      <c r="F104" s="298">
        <v>0.11719738000471913</v>
      </c>
      <c r="G104" s="298">
        <v>9.0950515996728487E-2</v>
      </c>
      <c r="H104" s="298">
        <v>5.6069430808107633E-2</v>
      </c>
      <c r="I104" s="298">
        <v>0.18457651004529252</v>
      </c>
      <c r="J104" s="298">
        <v>0.21861320828195963</v>
      </c>
      <c r="K104" s="298">
        <v>0.14805460867942424</v>
      </c>
      <c r="L104" s="298">
        <v>0.10865726471480185</v>
      </c>
      <c r="M104" s="298">
        <v>8.7921961526698345E-2</v>
      </c>
      <c r="N104" s="298">
        <v>5.8256465500538285E-2</v>
      </c>
      <c r="O104" s="298">
        <v>4.4253058727944716E-2</v>
      </c>
      <c r="P104" s="298">
        <v>3.9509788445304235E-2</v>
      </c>
      <c r="Q104" s="298">
        <v>2.9542651780987427E-2</v>
      </c>
      <c r="R104" s="298">
        <v>2.8071591122090556E-2</v>
      </c>
      <c r="S104" s="298">
        <v>2.8071591122090556E-2</v>
      </c>
      <c r="T104" s="298">
        <v>2.8071591122090556E-2</v>
      </c>
      <c r="U104" s="298">
        <v>2.8071591122090556E-2</v>
      </c>
    </row>
    <row r="105" spans="1:21" ht="14.4" x14ac:dyDescent="0.3">
      <c r="A105" s="43">
        <v>43</v>
      </c>
      <c r="B105" s="43"/>
      <c r="C105" s="1"/>
      <c r="D105" s="298">
        <v>2.2178560512821952</v>
      </c>
      <c r="E105" s="298">
        <v>1.1905972320783262</v>
      </c>
      <c r="F105" s="298">
        <v>0.75615175660327605</v>
      </c>
      <c r="G105" s="298">
        <v>0.45362551647456517</v>
      </c>
      <c r="H105" s="298">
        <v>0.28528173727691464</v>
      </c>
      <c r="I105" s="298">
        <v>0.21779752656057286</v>
      </c>
      <c r="J105" s="298">
        <v>0.25538951981730396</v>
      </c>
      <c r="K105" s="298">
        <v>0.24818871965708805</v>
      </c>
      <c r="L105" s="298">
        <v>0.22308863199724832</v>
      </c>
      <c r="M105" s="298">
        <v>0.19779080449305989</v>
      </c>
      <c r="N105" s="298">
        <v>0.1877023014843526</v>
      </c>
      <c r="O105" s="298">
        <v>0.18024721970812474</v>
      </c>
      <c r="P105" s="298">
        <v>0.14969356494618877</v>
      </c>
      <c r="Q105" s="298">
        <v>0.15402172112964774</v>
      </c>
      <c r="R105" s="298">
        <v>0.14788153997371078</v>
      </c>
      <c r="S105" s="298">
        <v>0.14788153997371078</v>
      </c>
      <c r="T105" s="298">
        <v>0.14788153997371078</v>
      </c>
      <c r="U105" s="298">
        <v>0.14788153997371078</v>
      </c>
    </row>
    <row r="106" spans="1:21" ht="14.4" x14ac:dyDescent="0.3">
      <c r="A106" s="43">
        <v>44</v>
      </c>
      <c r="B106" s="43"/>
      <c r="C106" s="1"/>
      <c r="D106" s="298">
        <v>0.15658261184107439</v>
      </c>
      <c r="E106" s="298">
        <v>6.9206297258360139E-2</v>
      </c>
      <c r="F106" s="298">
        <v>0.11719738000471913</v>
      </c>
      <c r="G106" s="298">
        <v>9.0950515996728487E-2</v>
      </c>
      <c r="H106" s="298">
        <v>5.6069430808107633E-2</v>
      </c>
      <c r="I106" s="298">
        <v>0.18457651004529252</v>
      </c>
      <c r="J106" s="298">
        <v>0.21861320828195963</v>
      </c>
      <c r="K106" s="298">
        <v>0.14805460867942424</v>
      </c>
      <c r="L106" s="298">
        <v>0.10865726471480185</v>
      </c>
      <c r="M106" s="298">
        <v>8.7921961526698345E-2</v>
      </c>
      <c r="N106" s="298">
        <v>5.8256465500538285E-2</v>
      </c>
      <c r="O106" s="298">
        <v>4.4253058727944716E-2</v>
      </c>
      <c r="P106" s="298">
        <v>3.9509788445304235E-2</v>
      </c>
      <c r="Q106" s="298">
        <v>2.9542651780987427E-2</v>
      </c>
      <c r="R106" s="298">
        <v>2.8071591122090556E-2</v>
      </c>
      <c r="S106" s="298">
        <v>2.8071591122090556E-2</v>
      </c>
      <c r="T106" s="298">
        <v>2.8071591122090556E-2</v>
      </c>
      <c r="U106" s="298">
        <v>2.8071591122090556E-2</v>
      </c>
    </row>
    <row r="107" spans="1:21" ht="14.4" x14ac:dyDescent="0.3">
      <c r="A107" s="43">
        <v>45</v>
      </c>
      <c r="B107" s="43"/>
      <c r="C107" s="1"/>
      <c r="D107" s="298">
        <v>0.15674381381219379</v>
      </c>
      <c r="E107" s="298">
        <v>6.9135515452953725E-2</v>
      </c>
      <c r="F107" s="298">
        <v>0.11721931861181524</v>
      </c>
      <c r="G107" s="298">
        <v>9.0976276916425139E-2</v>
      </c>
      <c r="H107" s="298">
        <v>5.5974795488511517E-2</v>
      </c>
      <c r="I107" s="298">
        <v>0.18455139999068912</v>
      </c>
      <c r="J107" s="298">
        <v>0.21866515563030009</v>
      </c>
      <c r="K107" s="298">
        <v>0.14808361462956454</v>
      </c>
      <c r="L107" s="298">
        <v>0.10867252849450271</v>
      </c>
      <c r="M107" s="298">
        <v>8.7932880027034033E-2</v>
      </c>
      <c r="N107" s="298">
        <v>5.8261619608528936E-2</v>
      </c>
      <c r="O107" s="298">
        <v>4.4254803859095013E-2</v>
      </c>
      <c r="P107" s="298">
        <v>3.9511622355493263E-2</v>
      </c>
      <c r="Q107" s="298">
        <v>2.9543012509050892E-2</v>
      </c>
      <c r="R107" s="298">
        <v>2.8071590865564936E-2</v>
      </c>
      <c r="S107" s="298">
        <v>2.8071590865564936E-2</v>
      </c>
      <c r="T107" s="298">
        <v>2.8071590865564936E-2</v>
      </c>
      <c r="U107" s="298">
        <v>2.8071590865564936E-2</v>
      </c>
    </row>
    <row r="108" spans="1:21" ht="14.4" x14ac:dyDescent="0.3">
      <c r="A108" s="43">
        <v>46</v>
      </c>
      <c r="B108" s="43"/>
      <c r="C108" s="1"/>
      <c r="D108" s="298">
        <v>0.15658261184107439</v>
      </c>
      <c r="E108" s="298">
        <v>6.9206297258360139E-2</v>
      </c>
      <c r="F108" s="298">
        <v>0.11719738000471913</v>
      </c>
      <c r="G108" s="298">
        <v>9.0950515996728487E-2</v>
      </c>
      <c r="H108" s="298">
        <v>5.6069430808107633E-2</v>
      </c>
      <c r="I108" s="298">
        <v>0.18457651004529252</v>
      </c>
      <c r="J108" s="298">
        <v>0.21861320828195963</v>
      </c>
      <c r="K108" s="298">
        <v>0.14805460867942424</v>
      </c>
      <c r="L108" s="298">
        <v>0.10865726471480185</v>
      </c>
      <c r="M108" s="298">
        <v>8.7921961526698345E-2</v>
      </c>
      <c r="N108" s="298">
        <v>5.8256465500538285E-2</v>
      </c>
      <c r="O108" s="298">
        <v>4.4253058727944716E-2</v>
      </c>
      <c r="P108" s="298">
        <v>3.9509788445304235E-2</v>
      </c>
      <c r="Q108" s="298">
        <v>2.9542651780987427E-2</v>
      </c>
      <c r="R108" s="298">
        <v>2.8071591122090556E-2</v>
      </c>
      <c r="S108" s="298">
        <v>2.8071591122090556E-2</v>
      </c>
      <c r="T108" s="298">
        <v>2.8071591122090556E-2</v>
      </c>
      <c r="U108" s="298">
        <v>2.8071591122090556E-2</v>
      </c>
    </row>
    <row r="109" spans="1:21" ht="14.4" x14ac:dyDescent="0.3">
      <c r="A109" s="43">
        <v>47</v>
      </c>
      <c r="B109" s="43"/>
      <c r="C109" s="1"/>
      <c r="D109" s="298">
        <v>2.3268630691236321</v>
      </c>
      <c r="E109" s="298">
        <v>0.78641478977548207</v>
      </c>
      <c r="F109" s="298">
        <v>0.65683719239534155</v>
      </c>
      <c r="G109" s="298">
        <v>0.58143321676267457</v>
      </c>
      <c r="H109" s="298">
        <v>0.44928960665019158</v>
      </c>
      <c r="I109" s="298">
        <v>0.41294151992551731</v>
      </c>
      <c r="J109" s="298">
        <v>0.2940568330031525</v>
      </c>
      <c r="K109" s="298">
        <v>0.2786885915405366</v>
      </c>
      <c r="L109" s="298">
        <v>0.26697263616116279</v>
      </c>
      <c r="M109" s="298">
        <v>0.26064585390490097</v>
      </c>
      <c r="N109" s="298">
        <v>0.2367936036530196</v>
      </c>
      <c r="O109" s="298">
        <v>0.19038468562778788</v>
      </c>
      <c r="P109" s="298">
        <v>0.18456070692514012</v>
      </c>
      <c r="Q109" s="298">
        <v>0.16108516476637483</v>
      </c>
      <c r="R109" s="298">
        <v>0.15522073313539117</v>
      </c>
      <c r="S109" s="298">
        <v>0.15522073313539117</v>
      </c>
      <c r="T109" s="298">
        <v>0.15522073313539117</v>
      </c>
      <c r="U109" s="298">
        <v>0.15522073313539117</v>
      </c>
    </row>
    <row r="110" spans="1:21" ht="14.4" x14ac:dyDescent="0.3">
      <c r="A110" s="43">
        <v>48</v>
      </c>
      <c r="B110" s="43"/>
      <c r="C110" s="1"/>
      <c r="D110" s="298">
        <v>0.15658261184107439</v>
      </c>
      <c r="E110" s="298">
        <v>6.9206297258360139E-2</v>
      </c>
      <c r="F110" s="298">
        <v>0.11719738000471913</v>
      </c>
      <c r="G110" s="298">
        <v>9.0950515996728487E-2</v>
      </c>
      <c r="H110" s="298">
        <v>5.6069430808107633E-2</v>
      </c>
      <c r="I110" s="298">
        <v>0.18457651004529252</v>
      </c>
      <c r="J110" s="298">
        <v>0.21861320828195963</v>
      </c>
      <c r="K110" s="298">
        <v>0.14805460867942424</v>
      </c>
      <c r="L110" s="298">
        <v>0.10865726471480185</v>
      </c>
      <c r="M110" s="298">
        <v>8.7921961526698345E-2</v>
      </c>
      <c r="N110" s="298">
        <v>5.8256465500538285E-2</v>
      </c>
      <c r="O110" s="298">
        <v>4.4253058727944716E-2</v>
      </c>
      <c r="P110" s="298">
        <v>3.9509788445304235E-2</v>
      </c>
      <c r="Q110" s="298">
        <v>2.9542651780987427E-2</v>
      </c>
      <c r="R110" s="298">
        <v>2.8071591122090556E-2</v>
      </c>
      <c r="S110" s="298">
        <v>2.8071591122090556E-2</v>
      </c>
      <c r="T110" s="298">
        <v>2.8071591122090556E-2</v>
      </c>
      <c r="U110" s="298">
        <v>2.8071591122090556E-2</v>
      </c>
    </row>
    <row r="111" spans="1:21" ht="14.4" x14ac:dyDescent="0.3">
      <c r="A111" s="43">
        <v>49</v>
      </c>
      <c r="B111" s="43"/>
      <c r="C111" s="1"/>
      <c r="D111" s="298">
        <v>2.222090686942058</v>
      </c>
      <c r="E111" s="298">
        <v>0.8231320290067401</v>
      </c>
      <c r="F111" s="298">
        <v>0.54372728367538525</v>
      </c>
      <c r="G111" s="298">
        <v>0.33388586731319231</v>
      </c>
      <c r="H111" s="298">
        <v>0.20472977887589594</v>
      </c>
      <c r="I111" s="298">
        <v>0.16067909526322774</v>
      </c>
      <c r="J111" s="298">
        <v>0.19635848943192444</v>
      </c>
      <c r="K111" s="298">
        <v>0.18022284651166184</v>
      </c>
      <c r="L111" s="298">
        <v>0.15241194609444156</v>
      </c>
      <c r="M111" s="298">
        <v>0.14568078669873447</v>
      </c>
      <c r="N111" s="298">
        <v>0.14316623416465049</v>
      </c>
      <c r="O111" s="298">
        <v>0.11820986355275069</v>
      </c>
      <c r="P111" s="298">
        <v>0.11324661442841535</v>
      </c>
      <c r="Q111" s="298">
        <v>0.10591950094820782</v>
      </c>
      <c r="R111" s="298">
        <v>0.10181373046970461</v>
      </c>
      <c r="S111" s="298">
        <v>0.10181373046970461</v>
      </c>
      <c r="T111" s="298">
        <v>0.10181373046970461</v>
      </c>
      <c r="U111" s="298">
        <v>0.10181373046970461</v>
      </c>
    </row>
    <row r="112" spans="1:21" ht="14.4" x14ac:dyDescent="0.3">
      <c r="A112" s="43">
        <v>50</v>
      </c>
      <c r="B112" s="43"/>
      <c r="C112" s="1"/>
      <c r="D112" s="298">
        <v>0.15658261184107439</v>
      </c>
      <c r="E112" s="298">
        <v>6.9206297258360139E-2</v>
      </c>
      <c r="F112" s="298">
        <v>0.11719738000471913</v>
      </c>
      <c r="G112" s="298">
        <v>9.0950515996728487E-2</v>
      </c>
      <c r="H112" s="298">
        <v>5.6069430808107633E-2</v>
      </c>
      <c r="I112" s="298">
        <v>0.18457651004529252</v>
      </c>
      <c r="J112" s="298">
        <v>0.21861320828195963</v>
      </c>
      <c r="K112" s="298">
        <v>0.14805460867942424</v>
      </c>
      <c r="L112" s="298">
        <v>0.10865726471480185</v>
      </c>
      <c r="M112" s="298">
        <v>8.7921961526698345E-2</v>
      </c>
      <c r="N112" s="298">
        <v>5.8256465500538285E-2</v>
      </c>
      <c r="O112" s="298">
        <v>4.4253058727944716E-2</v>
      </c>
      <c r="P112" s="298">
        <v>3.9509788445304235E-2</v>
      </c>
      <c r="Q112" s="298">
        <v>2.9542651780987427E-2</v>
      </c>
      <c r="R112" s="298">
        <v>2.8071591122090556E-2</v>
      </c>
      <c r="S112" s="298">
        <v>2.8071591122090556E-2</v>
      </c>
      <c r="T112" s="298">
        <v>2.8071591122090556E-2</v>
      </c>
      <c r="U112" s="298">
        <v>2.8071591122090556E-2</v>
      </c>
    </row>
    <row r="113" spans="2:21" x14ac:dyDescent="0.25">
      <c r="D113" s="51"/>
    </row>
    <row r="114" spans="2:21" x14ac:dyDescent="0.25">
      <c r="B114" s="26" t="s">
        <v>5</v>
      </c>
      <c r="D114" s="32">
        <f t="shared" ref="D114:U114" si="7">SQRT(SUMSQ(D64:D112))</f>
        <v>163.93774717643851</v>
      </c>
      <c r="E114" s="32">
        <f t="shared" si="7"/>
        <v>113.48802501155089</v>
      </c>
      <c r="F114" s="32">
        <f t="shared" si="7"/>
        <v>92.201479834948017</v>
      </c>
      <c r="G114" s="32">
        <f t="shared" si="7"/>
        <v>70.914070764570482</v>
      </c>
      <c r="H114" s="32">
        <f t="shared" si="7"/>
        <v>54.750054571794223</v>
      </c>
      <c r="I114" s="32">
        <f t="shared" si="7"/>
        <v>45.409107972180678</v>
      </c>
      <c r="J114" s="32">
        <f t="shared" si="7"/>
        <v>40.452846599409661</v>
      </c>
      <c r="K114" s="32">
        <f t="shared" si="7"/>
        <v>36.567604373048553</v>
      </c>
      <c r="L114" s="32">
        <f t="shared" si="7"/>
        <v>33.722497172696237</v>
      </c>
      <c r="M114" s="32">
        <f t="shared" si="7"/>
        <v>31.537820676686238</v>
      </c>
      <c r="N114" s="32">
        <f t="shared" si="7"/>
        <v>28.353599859458789</v>
      </c>
      <c r="O114" s="32">
        <f t="shared" si="7"/>
        <v>26.003967172553079</v>
      </c>
      <c r="P114" s="32">
        <f t="shared" si="7"/>
        <v>24.160245237926446</v>
      </c>
      <c r="Q114" s="32">
        <f t="shared" si="7"/>
        <v>21.249690073067327</v>
      </c>
      <c r="R114" s="32">
        <f t="shared" si="7"/>
        <v>21.247242746791578</v>
      </c>
      <c r="S114" s="32">
        <f t="shared" si="7"/>
        <v>21.247242746791578</v>
      </c>
      <c r="T114" s="32">
        <f t="shared" si="7"/>
        <v>21.247242746791578</v>
      </c>
      <c r="U114" s="32">
        <f t="shared" si="7"/>
        <v>21.247242746791578</v>
      </c>
    </row>
    <row r="116" spans="2:21" x14ac:dyDescent="0.25">
      <c r="D116" s="32"/>
      <c r="E116" s="32"/>
      <c r="F116" s="32"/>
      <c r="G116" s="32"/>
      <c r="H116" s="32"/>
      <c r="I116" s="32"/>
    </row>
    <row r="118" spans="2:21" x14ac:dyDescent="0.25">
      <c r="D118" s="32"/>
      <c r="E118" s="32"/>
      <c r="F118" s="32"/>
      <c r="G118" s="32"/>
      <c r="H118" s="32"/>
      <c r="I118" s="32"/>
    </row>
  </sheetData>
  <pageMargins left="0.75" right="0.75" top="1" bottom="1" header="0.5" footer="0.5"/>
  <pageSetup scale="86" fitToWidth="2" fitToHeight="2" orientation="portrait" r:id="rId1"/>
  <headerFooter alignWithMargins="0">
    <oddHeader>&amp;R&amp;D
&amp;T
rh</oddHeader>
    <oddFooter>&amp;L&amp;F
&amp;A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U118"/>
  <sheetViews>
    <sheetView workbookViewId="0">
      <selection activeCell="H4" sqref="H4:H53"/>
    </sheetView>
  </sheetViews>
  <sheetFormatPr defaultRowHeight="13.2" x14ac:dyDescent="0.25"/>
  <cols>
    <col min="1" max="6" width="9.109375" style="26"/>
    <col min="7" max="7" width="9.109375" style="26" customWidth="1"/>
    <col min="8" max="8" width="10.6640625" style="26" customWidth="1"/>
    <col min="9" max="262" width="9.109375" style="26"/>
    <col min="263" max="263" width="9.5546875" style="26" bestFit="1" customWidth="1"/>
    <col min="264" max="264" width="10.6640625" style="26" customWidth="1"/>
    <col min="265" max="518" width="9.109375" style="26"/>
    <col min="519" max="519" width="9.5546875" style="26" bestFit="1" customWidth="1"/>
    <col min="520" max="520" width="10.6640625" style="26" customWidth="1"/>
    <col min="521" max="774" width="9.109375" style="26"/>
    <col min="775" max="775" width="9.5546875" style="26" bestFit="1" customWidth="1"/>
    <col min="776" max="776" width="10.6640625" style="26" customWidth="1"/>
    <col min="777" max="1030" width="9.109375" style="26"/>
    <col min="1031" max="1031" width="9.5546875" style="26" bestFit="1" customWidth="1"/>
    <col min="1032" max="1032" width="10.6640625" style="26" customWidth="1"/>
    <col min="1033" max="1286" width="9.109375" style="26"/>
    <col min="1287" max="1287" width="9.5546875" style="26" bestFit="1" customWidth="1"/>
    <col min="1288" max="1288" width="10.6640625" style="26" customWidth="1"/>
    <col min="1289" max="1542" width="9.109375" style="26"/>
    <col min="1543" max="1543" width="9.5546875" style="26" bestFit="1" customWidth="1"/>
    <col min="1544" max="1544" width="10.6640625" style="26" customWidth="1"/>
    <col min="1545" max="1798" width="9.109375" style="26"/>
    <col min="1799" max="1799" width="9.5546875" style="26" bestFit="1" customWidth="1"/>
    <col min="1800" max="1800" width="10.6640625" style="26" customWidth="1"/>
    <col min="1801" max="2054" width="9.109375" style="26"/>
    <col min="2055" max="2055" width="9.5546875" style="26" bestFit="1" customWidth="1"/>
    <col min="2056" max="2056" width="10.6640625" style="26" customWidth="1"/>
    <col min="2057" max="2310" width="9.109375" style="26"/>
    <col min="2311" max="2311" width="9.5546875" style="26" bestFit="1" customWidth="1"/>
    <col min="2312" max="2312" width="10.6640625" style="26" customWidth="1"/>
    <col min="2313" max="2566" width="9.109375" style="26"/>
    <col min="2567" max="2567" width="9.5546875" style="26" bestFit="1" customWidth="1"/>
    <col min="2568" max="2568" width="10.6640625" style="26" customWidth="1"/>
    <col min="2569" max="2822" width="9.109375" style="26"/>
    <col min="2823" max="2823" width="9.5546875" style="26" bestFit="1" customWidth="1"/>
    <col min="2824" max="2824" width="10.6640625" style="26" customWidth="1"/>
    <col min="2825" max="3078" width="9.109375" style="26"/>
    <col min="3079" max="3079" width="9.5546875" style="26" bestFit="1" customWidth="1"/>
    <col min="3080" max="3080" width="10.6640625" style="26" customWidth="1"/>
    <col min="3081" max="3334" width="9.109375" style="26"/>
    <col min="3335" max="3335" width="9.5546875" style="26" bestFit="1" customWidth="1"/>
    <col min="3336" max="3336" width="10.6640625" style="26" customWidth="1"/>
    <col min="3337" max="3590" width="9.109375" style="26"/>
    <col min="3591" max="3591" width="9.5546875" style="26" bestFit="1" customWidth="1"/>
    <col min="3592" max="3592" width="10.6640625" style="26" customWidth="1"/>
    <col min="3593" max="3846" width="9.109375" style="26"/>
    <col min="3847" max="3847" width="9.5546875" style="26" bestFit="1" customWidth="1"/>
    <col min="3848" max="3848" width="10.6640625" style="26" customWidth="1"/>
    <col min="3849" max="4102" width="9.109375" style="26"/>
    <col min="4103" max="4103" width="9.5546875" style="26" bestFit="1" customWidth="1"/>
    <col min="4104" max="4104" width="10.6640625" style="26" customWidth="1"/>
    <col min="4105" max="4358" width="9.109375" style="26"/>
    <col min="4359" max="4359" width="9.5546875" style="26" bestFit="1" customWidth="1"/>
    <col min="4360" max="4360" width="10.6640625" style="26" customWidth="1"/>
    <col min="4361" max="4614" width="9.109375" style="26"/>
    <col min="4615" max="4615" width="9.5546875" style="26" bestFit="1" customWidth="1"/>
    <col min="4616" max="4616" width="10.6640625" style="26" customWidth="1"/>
    <col min="4617" max="4870" width="9.109375" style="26"/>
    <col min="4871" max="4871" width="9.5546875" style="26" bestFit="1" customWidth="1"/>
    <col min="4872" max="4872" width="10.6640625" style="26" customWidth="1"/>
    <col min="4873" max="5126" width="9.109375" style="26"/>
    <col min="5127" max="5127" width="9.5546875" style="26" bestFit="1" customWidth="1"/>
    <col min="5128" max="5128" width="10.6640625" style="26" customWidth="1"/>
    <col min="5129" max="5382" width="9.109375" style="26"/>
    <col min="5383" max="5383" width="9.5546875" style="26" bestFit="1" customWidth="1"/>
    <col min="5384" max="5384" width="10.6640625" style="26" customWidth="1"/>
    <col min="5385" max="5638" width="9.109375" style="26"/>
    <col min="5639" max="5639" width="9.5546875" style="26" bestFit="1" customWidth="1"/>
    <col min="5640" max="5640" width="10.6640625" style="26" customWidth="1"/>
    <col min="5641" max="5894" width="9.109375" style="26"/>
    <col min="5895" max="5895" width="9.5546875" style="26" bestFit="1" customWidth="1"/>
    <col min="5896" max="5896" width="10.6640625" style="26" customWidth="1"/>
    <col min="5897" max="6150" width="9.109375" style="26"/>
    <col min="6151" max="6151" width="9.5546875" style="26" bestFit="1" customWidth="1"/>
    <col min="6152" max="6152" width="10.6640625" style="26" customWidth="1"/>
    <col min="6153" max="6406" width="9.109375" style="26"/>
    <col min="6407" max="6407" width="9.5546875" style="26" bestFit="1" customWidth="1"/>
    <col min="6408" max="6408" width="10.6640625" style="26" customWidth="1"/>
    <col min="6409" max="6662" width="9.109375" style="26"/>
    <col min="6663" max="6663" width="9.5546875" style="26" bestFit="1" customWidth="1"/>
    <col min="6664" max="6664" width="10.6640625" style="26" customWidth="1"/>
    <col min="6665" max="6918" width="9.109375" style="26"/>
    <col min="6919" max="6919" width="9.5546875" style="26" bestFit="1" customWidth="1"/>
    <col min="6920" max="6920" width="10.6640625" style="26" customWidth="1"/>
    <col min="6921" max="7174" width="9.109375" style="26"/>
    <col min="7175" max="7175" width="9.5546875" style="26" bestFit="1" customWidth="1"/>
    <col min="7176" max="7176" width="10.6640625" style="26" customWidth="1"/>
    <col min="7177" max="7430" width="9.109375" style="26"/>
    <col min="7431" max="7431" width="9.5546875" style="26" bestFit="1" customWidth="1"/>
    <col min="7432" max="7432" width="10.6640625" style="26" customWidth="1"/>
    <col min="7433" max="7686" width="9.109375" style="26"/>
    <col min="7687" max="7687" width="9.5546875" style="26" bestFit="1" customWidth="1"/>
    <col min="7688" max="7688" width="10.6640625" style="26" customWidth="1"/>
    <col min="7689" max="7942" width="9.109375" style="26"/>
    <col min="7943" max="7943" width="9.5546875" style="26" bestFit="1" customWidth="1"/>
    <col min="7944" max="7944" width="10.6640625" style="26" customWidth="1"/>
    <col min="7945" max="8198" width="9.109375" style="26"/>
    <col min="8199" max="8199" width="9.5546875" style="26" bestFit="1" customWidth="1"/>
    <col min="8200" max="8200" width="10.6640625" style="26" customWidth="1"/>
    <col min="8201" max="8454" width="9.109375" style="26"/>
    <col min="8455" max="8455" width="9.5546875" style="26" bestFit="1" customWidth="1"/>
    <col min="8456" max="8456" width="10.6640625" style="26" customWidth="1"/>
    <col min="8457" max="8710" width="9.109375" style="26"/>
    <col min="8711" max="8711" width="9.5546875" style="26" bestFit="1" customWidth="1"/>
    <col min="8712" max="8712" width="10.6640625" style="26" customWidth="1"/>
    <col min="8713" max="8966" width="9.109375" style="26"/>
    <col min="8967" max="8967" width="9.5546875" style="26" bestFit="1" customWidth="1"/>
    <col min="8968" max="8968" width="10.6640625" style="26" customWidth="1"/>
    <col min="8969" max="9222" width="9.109375" style="26"/>
    <col min="9223" max="9223" width="9.5546875" style="26" bestFit="1" customWidth="1"/>
    <col min="9224" max="9224" width="10.6640625" style="26" customWidth="1"/>
    <col min="9225" max="9478" width="9.109375" style="26"/>
    <col min="9479" max="9479" width="9.5546875" style="26" bestFit="1" customWidth="1"/>
    <col min="9480" max="9480" width="10.6640625" style="26" customWidth="1"/>
    <col min="9481" max="9734" width="9.109375" style="26"/>
    <col min="9735" max="9735" width="9.5546875" style="26" bestFit="1" customWidth="1"/>
    <col min="9736" max="9736" width="10.6640625" style="26" customWidth="1"/>
    <col min="9737" max="9990" width="9.109375" style="26"/>
    <col min="9991" max="9991" width="9.5546875" style="26" bestFit="1" customWidth="1"/>
    <col min="9992" max="9992" width="10.6640625" style="26" customWidth="1"/>
    <col min="9993" max="10246" width="9.109375" style="26"/>
    <col min="10247" max="10247" width="9.5546875" style="26" bestFit="1" customWidth="1"/>
    <col min="10248" max="10248" width="10.6640625" style="26" customWidth="1"/>
    <col min="10249" max="10502" width="9.109375" style="26"/>
    <col min="10503" max="10503" width="9.5546875" style="26" bestFit="1" customWidth="1"/>
    <col min="10504" max="10504" width="10.6640625" style="26" customWidth="1"/>
    <col min="10505" max="10758" width="9.109375" style="26"/>
    <col min="10759" max="10759" width="9.5546875" style="26" bestFit="1" customWidth="1"/>
    <col min="10760" max="10760" width="10.6640625" style="26" customWidth="1"/>
    <col min="10761" max="11014" width="9.109375" style="26"/>
    <col min="11015" max="11015" width="9.5546875" style="26" bestFit="1" customWidth="1"/>
    <col min="11016" max="11016" width="10.6640625" style="26" customWidth="1"/>
    <col min="11017" max="11270" width="9.109375" style="26"/>
    <col min="11271" max="11271" width="9.5546875" style="26" bestFit="1" customWidth="1"/>
    <col min="11272" max="11272" width="10.6640625" style="26" customWidth="1"/>
    <col min="11273" max="11526" width="9.109375" style="26"/>
    <col min="11527" max="11527" width="9.5546875" style="26" bestFit="1" customWidth="1"/>
    <col min="11528" max="11528" width="10.6640625" style="26" customWidth="1"/>
    <col min="11529" max="11782" width="9.109375" style="26"/>
    <col min="11783" max="11783" width="9.5546875" style="26" bestFit="1" customWidth="1"/>
    <col min="11784" max="11784" width="10.6640625" style="26" customWidth="1"/>
    <col min="11785" max="12038" width="9.109375" style="26"/>
    <col min="12039" max="12039" width="9.5546875" style="26" bestFit="1" customWidth="1"/>
    <col min="12040" max="12040" width="10.6640625" style="26" customWidth="1"/>
    <col min="12041" max="12294" width="9.109375" style="26"/>
    <col min="12295" max="12295" width="9.5546875" style="26" bestFit="1" customWidth="1"/>
    <col min="12296" max="12296" width="10.6640625" style="26" customWidth="1"/>
    <col min="12297" max="12550" width="9.109375" style="26"/>
    <col min="12551" max="12551" width="9.5546875" style="26" bestFit="1" customWidth="1"/>
    <col min="12552" max="12552" width="10.6640625" style="26" customWidth="1"/>
    <col min="12553" max="12806" width="9.109375" style="26"/>
    <col min="12807" max="12807" width="9.5546875" style="26" bestFit="1" customWidth="1"/>
    <col min="12808" max="12808" width="10.6640625" style="26" customWidth="1"/>
    <col min="12809" max="13062" width="9.109375" style="26"/>
    <col min="13063" max="13063" width="9.5546875" style="26" bestFit="1" customWidth="1"/>
    <col min="13064" max="13064" width="10.6640625" style="26" customWidth="1"/>
    <col min="13065" max="13318" width="9.109375" style="26"/>
    <col min="13319" max="13319" width="9.5546875" style="26" bestFit="1" customWidth="1"/>
    <col min="13320" max="13320" width="10.6640625" style="26" customWidth="1"/>
    <col min="13321" max="13574" width="9.109375" style="26"/>
    <col min="13575" max="13575" width="9.5546875" style="26" bestFit="1" customWidth="1"/>
    <col min="13576" max="13576" width="10.6640625" style="26" customWidth="1"/>
    <col min="13577" max="13830" width="9.109375" style="26"/>
    <col min="13831" max="13831" width="9.5546875" style="26" bestFit="1" customWidth="1"/>
    <col min="13832" max="13832" width="10.6640625" style="26" customWidth="1"/>
    <col min="13833" max="14086" width="9.109375" style="26"/>
    <col min="14087" max="14087" width="9.5546875" style="26" bestFit="1" customWidth="1"/>
    <col min="14088" max="14088" width="10.6640625" style="26" customWidth="1"/>
    <col min="14089" max="14342" width="9.109375" style="26"/>
    <col min="14343" max="14343" width="9.5546875" style="26" bestFit="1" customWidth="1"/>
    <col min="14344" max="14344" width="10.6640625" style="26" customWidth="1"/>
    <col min="14345" max="14598" width="9.109375" style="26"/>
    <col min="14599" max="14599" width="9.5546875" style="26" bestFit="1" customWidth="1"/>
    <col min="14600" max="14600" width="10.6640625" style="26" customWidth="1"/>
    <col min="14601" max="14854" width="9.109375" style="26"/>
    <col min="14855" max="14855" width="9.5546875" style="26" bestFit="1" customWidth="1"/>
    <col min="14856" max="14856" width="10.6640625" style="26" customWidth="1"/>
    <col min="14857" max="15110" width="9.109375" style="26"/>
    <col min="15111" max="15111" width="9.5546875" style="26" bestFit="1" customWidth="1"/>
    <col min="15112" max="15112" width="10.6640625" style="26" customWidth="1"/>
    <col min="15113" max="15366" width="9.109375" style="26"/>
    <col min="15367" max="15367" width="9.5546875" style="26" bestFit="1" customWidth="1"/>
    <col min="15368" max="15368" width="10.6640625" style="26" customWidth="1"/>
    <col min="15369" max="15622" width="9.109375" style="26"/>
    <col min="15623" max="15623" width="9.5546875" style="26" bestFit="1" customWidth="1"/>
    <col min="15624" max="15624" width="10.6640625" style="26" customWidth="1"/>
    <col min="15625" max="15878" width="9.109375" style="26"/>
    <col min="15879" max="15879" width="9.5546875" style="26" bestFit="1" customWidth="1"/>
    <col min="15880" max="15880" width="10.6640625" style="26" customWidth="1"/>
    <col min="15881" max="16134" width="9.109375" style="26"/>
    <col min="16135" max="16135" width="9.5546875" style="26" bestFit="1" customWidth="1"/>
    <col min="16136" max="16136" width="10.6640625" style="26" customWidth="1"/>
    <col min="16137" max="16384" width="9.109375" style="26"/>
  </cols>
  <sheetData>
    <row r="1" spans="1:15" ht="13.8" thickBot="1" x14ac:dyDescent="0.3">
      <c r="A1" s="84" t="s">
        <v>280</v>
      </c>
      <c r="B1" s="275" t="s">
        <v>402</v>
      </c>
      <c r="C1" s="33">
        <f>Drives!BA20</f>
        <v>38490.017945975058</v>
      </c>
      <c r="D1" s="28" t="s">
        <v>7</v>
      </c>
      <c r="E1" s="300">
        <v>5.5</v>
      </c>
      <c r="F1" s="301">
        <f>MAX(0.1,E1+100/C1)</f>
        <v>5.5025980762113536</v>
      </c>
      <c r="G1" s="36" t="s">
        <v>1</v>
      </c>
      <c r="H1" s="29">
        <f>IF(J1=0,0,H4/J1)</f>
        <v>0</v>
      </c>
      <c r="I1" s="54" t="s">
        <v>94</v>
      </c>
      <c r="J1" s="34">
        <f>Drives!Z20</f>
        <v>0</v>
      </c>
      <c r="K1" s="26" t="s">
        <v>84</v>
      </c>
      <c r="N1" s="254">
        <v>0.97</v>
      </c>
      <c r="O1" s="26" t="s">
        <v>176</v>
      </c>
    </row>
    <row r="2" spans="1:15" x14ac:dyDescent="0.25">
      <c r="A2" s="269" t="s">
        <v>88</v>
      </c>
      <c r="B2" s="276">
        <v>20</v>
      </c>
      <c r="D2" s="26">
        <f>C4+1</f>
        <v>7</v>
      </c>
      <c r="E2" s="41">
        <f>F1-C3</f>
        <v>0.50259807621135355</v>
      </c>
      <c r="F2" s="36"/>
      <c r="G2" s="36"/>
      <c r="J2" s="29">
        <f>IF(J1&gt;=0.6, 0.7+(J1-0.6)*0.75, IF(J1&gt;=0.2, 0.3+(J1-0.2)*1, J1*1.5))</f>
        <v>0</v>
      </c>
      <c r="K2" s="26" t="s">
        <v>60</v>
      </c>
    </row>
    <row r="3" spans="1:15" ht="13.8" thickBot="1" x14ac:dyDescent="0.3">
      <c r="A3" s="270" t="s">
        <v>365</v>
      </c>
      <c r="C3" s="41">
        <f>HLOOKUP($F$1,$D$62:$U$113,(B3+1))</f>
        <v>5</v>
      </c>
      <c r="D3" s="41">
        <f>HLOOKUP($D$2,$D$61:$U$113,(B3+2))</f>
        <v>6</v>
      </c>
      <c r="E3" s="26">
        <f>D3-C3</f>
        <v>1</v>
      </c>
      <c r="F3" s="26">
        <f>IF(E3=0,1,E2/E3)</f>
        <v>0.50259807621135355</v>
      </c>
      <c r="G3" s="32">
        <f>C3+(E3*F3)</f>
        <v>5.5025980762113536</v>
      </c>
      <c r="J3" s="31"/>
    </row>
    <row r="4" spans="1:15" ht="13.8" thickBot="1" x14ac:dyDescent="0.3">
      <c r="A4" s="31" t="s">
        <v>90</v>
      </c>
      <c r="B4" s="26">
        <v>1</v>
      </c>
      <c r="C4" s="302">
        <f t="shared" ref="C4:C53" si="0">HLOOKUP($F$1,$D$62:$U$113,(B4+1))</f>
        <v>6</v>
      </c>
      <c r="D4" s="302">
        <f t="shared" ref="D4:D53" si="1">HLOOKUP($D$2,$D$61:$U$113,(B4+2))</f>
        <v>7</v>
      </c>
      <c r="G4" s="27">
        <v>100</v>
      </c>
      <c r="H4" s="34">
        <f>Drives!AR20</f>
        <v>0</v>
      </c>
      <c r="I4" s="26" t="s">
        <v>53</v>
      </c>
    </row>
    <row r="5" spans="1:15" x14ac:dyDescent="0.25">
      <c r="A5" s="31"/>
      <c r="B5" s="26">
        <v>2</v>
      </c>
      <c r="C5" s="52">
        <f t="shared" si="0"/>
        <v>1.0787351058726545E-2</v>
      </c>
      <c r="D5" s="52">
        <f t="shared" si="1"/>
        <v>1.5488830696511377E-2</v>
      </c>
      <c r="E5" s="48">
        <f t="shared" ref="E5:E53" si="2">D5-C5</f>
        <v>4.7014796377848316E-3</v>
      </c>
      <c r="F5" s="48">
        <f t="shared" ref="F5:F53" si="3">E5*$F$3</f>
        <v>2.3629546212975078E-3</v>
      </c>
      <c r="G5" s="48">
        <f t="shared" ref="G5:G53" si="4">C5+F5</f>
        <v>1.3150305680024052E-2</v>
      </c>
      <c r="H5" s="30">
        <f>J$2*G5*$H$1/100</f>
        <v>0</v>
      </c>
    </row>
    <row r="6" spans="1:15" x14ac:dyDescent="0.25">
      <c r="A6" s="270" t="s">
        <v>404</v>
      </c>
      <c r="B6" s="26">
        <v>3</v>
      </c>
      <c r="C6" s="52">
        <f t="shared" si="0"/>
        <v>7.7608557639223745</v>
      </c>
      <c r="D6" s="52">
        <f t="shared" si="1"/>
        <v>5.1365577880102951</v>
      </c>
      <c r="E6" s="48">
        <f t="shared" si="2"/>
        <v>-2.6242979759120795</v>
      </c>
      <c r="F6" s="48">
        <f t="shared" si="3"/>
        <v>-1.3189671140987602</v>
      </c>
      <c r="G6" s="48">
        <f t="shared" si="4"/>
        <v>6.4418886498236141</v>
      </c>
      <c r="H6" s="30">
        <f t="shared" ref="H6:H53" si="5">J$2*G6*$H$1/100</f>
        <v>0</v>
      </c>
    </row>
    <row r="7" spans="1:15" x14ac:dyDescent="0.25">
      <c r="A7" s="270" t="s">
        <v>92</v>
      </c>
      <c r="B7" s="26">
        <v>4</v>
      </c>
      <c r="C7" s="52">
        <f t="shared" si="0"/>
        <v>1.8916758051922035E-2</v>
      </c>
      <c r="D7" s="52">
        <f t="shared" si="1"/>
        <v>2.4591818946340816E-2</v>
      </c>
      <c r="E7" s="48">
        <f t="shared" si="2"/>
        <v>5.6750608944187812E-3</v>
      </c>
      <c r="F7" s="48">
        <f t="shared" si="3"/>
        <v>2.852274687917163E-3</v>
      </c>
      <c r="G7" s="48">
        <f t="shared" si="4"/>
        <v>2.1769032739839198E-2</v>
      </c>
      <c r="H7" s="30">
        <f t="shared" si="5"/>
        <v>0</v>
      </c>
    </row>
    <row r="8" spans="1:15" x14ac:dyDescent="0.25">
      <c r="A8" s="50"/>
      <c r="B8" s="26">
        <v>5</v>
      </c>
      <c r="C8" s="52">
        <f t="shared" si="0"/>
        <v>37.27946499417164</v>
      </c>
      <c r="D8" s="52">
        <f t="shared" si="1"/>
        <v>34.240442443062605</v>
      </c>
      <c r="E8" s="48">
        <f t="shared" si="2"/>
        <v>-3.039022551109035</v>
      </c>
      <c r="F8" s="48">
        <f t="shared" si="3"/>
        <v>-1.5274068877503209</v>
      </c>
      <c r="G8" s="48">
        <f t="shared" si="4"/>
        <v>35.752058106421316</v>
      </c>
      <c r="H8" s="30">
        <f t="shared" si="5"/>
        <v>0</v>
      </c>
    </row>
    <row r="9" spans="1:15" x14ac:dyDescent="0.25">
      <c r="A9" s="50"/>
      <c r="B9" s="26">
        <v>6</v>
      </c>
      <c r="C9" s="52">
        <f t="shared" si="0"/>
        <v>6.7285132893848583E-3</v>
      </c>
      <c r="D9" s="52">
        <f t="shared" si="1"/>
        <v>4.5194792975590103E-3</v>
      </c>
      <c r="E9" s="48">
        <f t="shared" si="2"/>
        <v>-2.209033991825848E-3</v>
      </c>
      <c r="F9" s="48">
        <f t="shared" si="3"/>
        <v>-1.110256234577158E-3</v>
      </c>
      <c r="G9" s="48">
        <f t="shared" si="4"/>
        <v>5.6182570548076998E-3</v>
      </c>
      <c r="H9" s="30">
        <f t="shared" si="5"/>
        <v>0</v>
      </c>
    </row>
    <row r="10" spans="1:15" x14ac:dyDescent="0.25">
      <c r="B10" s="26">
        <v>7</v>
      </c>
      <c r="C10" s="52">
        <f t="shared" si="0"/>
        <v>10.407370469722119</v>
      </c>
      <c r="D10" s="52">
        <f t="shared" si="1"/>
        <v>8.4234250472584673</v>
      </c>
      <c r="E10" s="48">
        <f t="shared" si="2"/>
        <v>-1.9839454224636519</v>
      </c>
      <c r="F10" s="48">
        <f t="shared" si="3"/>
        <v>-0.99712715263855256</v>
      </c>
      <c r="G10" s="48">
        <f t="shared" si="4"/>
        <v>9.410243317083566</v>
      </c>
      <c r="H10" s="30">
        <f t="shared" si="5"/>
        <v>0</v>
      </c>
    </row>
    <row r="11" spans="1:15" x14ac:dyDescent="0.25">
      <c r="B11" s="26">
        <v>8</v>
      </c>
      <c r="C11" s="52">
        <f t="shared" si="0"/>
        <v>1.9603945043945102E-2</v>
      </c>
      <c r="D11" s="52">
        <f t="shared" si="1"/>
        <v>1.2636657164619786E-2</v>
      </c>
      <c r="E11" s="48">
        <f t="shared" si="2"/>
        <v>-6.9672878793253165E-3</v>
      </c>
      <c r="F11" s="48">
        <f t="shared" si="3"/>
        <v>-3.5017454845595853E-3</v>
      </c>
      <c r="G11" s="48">
        <f t="shared" si="4"/>
        <v>1.6102199559385518E-2</v>
      </c>
      <c r="H11" s="30">
        <f t="shared" si="5"/>
        <v>0</v>
      </c>
    </row>
    <row r="12" spans="1:15" x14ac:dyDescent="0.25">
      <c r="B12" s="26">
        <v>9</v>
      </c>
      <c r="C12" s="52">
        <f t="shared" si="0"/>
        <v>1.5532650518305111</v>
      </c>
      <c r="D12" s="52">
        <f t="shared" si="1"/>
        <v>0.98716445545758624</v>
      </c>
      <c r="E12" s="48">
        <f t="shared" si="2"/>
        <v>-0.56610059637292487</v>
      </c>
      <c r="F12" s="48">
        <f t="shared" si="3"/>
        <v>-0.28452107067913202</v>
      </c>
      <c r="G12" s="48">
        <f t="shared" si="4"/>
        <v>1.268743981151379</v>
      </c>
      <c r="H12" s="30">
        <f t="shared" si="5"/>
        <v>0</v>
      </c>
    </row>
    <row r="13" spans="1:15" x14ac:dyDescent="0.25">
      <c r="B13" s="26">
        <v>10</v>
      </c>
      <c r="C13" s="52">
        <f t="shared" si="0"/>
        <v>1.2351163020258928E-2</v>
      </c>
      <c r="D13" s="52">
        <f t="shared" si="1"/>
        <v>7.8770677291336265E-3</v>
      </c>
      <c r="E13" s="48">
        <f t="shared" si="2"/>
        <v>-4.4740952911253018E-3</v>
      </c>
      <c r="F13" s="48">
        <f t="shared" si="3"/>
        <v>-2.2486716861058525E-3</v>
      </c>
      <c r="G13" s="48">
        <f t="shared" si="4"/>
        <v>1.0102491334153075E-2</v>
      </c>
      <c r="H13" s="30">
        <f t="shared" si="5"/>
        <v>0</v>
      </c>
    </row>
    <row r="14" spans="1:15" x14ac:dyDescent="0.25">
      <c r="B14" s="26">
        <v>11</v>
      </c>
      <c r="C14" s="52">
        <f t="shared" si="0"/>
        <v>6.9055670232180777</v>
      </c>
      <c r="D14" s="52">
        <f t="shared" si="1"/>
        <v>6.5341193000171698</v>
      </c>
      <c r="E14" s="48">
        <f t="shared" si="2"/>
        <v>-0.37144772320090791</v>
      </c>
      <c r="F14" s="48">
        <f t="shared" si="3"/>
        <v>-0.18668891109386368</v>
      </c>
      <c r="G14" s="48">
        <f t="shared" si="4"/>
        <v>6.718878112124214</v>
      </c>
      <c r="H14" s="30">
        <f t="shared" si="5"/>
        <v>0</v>
      </c>
    </row>
    <row r="15" spans="1:15" x14ac:dyDescent="0.25">
      <c r="B15" s="26">
        <v>12</v>
      </c>
      <c r="C15" s="52">
        <f t="shared" si="0"/>
        <v>4.6340307760456886E-3</v>
      </c>
      <c r="D15" s="52">
        <f t="shared" si="1"/>
        <v>1.2658928420938899E-3</v>
      </c>
      <c r="E15" s="48">
        <f t="shared" si="2"/>
        <v>-3.3681379339517989E-3</v>
      </c>
      <c r="F15" s="48">
        <f t="shared" si="3"/>
        <v>-1.6928196460186571E-3</v>
      </c>
      <c r="G15" s="48">
        <f t="shared" si="4"/>
        <v>2.9412111300270317E-3</v>
      </c>
      <c r="H15" s="30">
        <f t="shared" si="5"/>
        <v>0</v>
      </c>
    </row>
    <row r="16" spans="1:15" x14ac:dyDescent="0.25">
      <c r="B16" s="26">
        <v>13</v>
      </c>
      <c r="C16" s="52">
        <f t="shared" si="0"/>
        <v>3.2687886565984781</v>
      </c>
      <c r="D16" s="52">
        <f t="shared" si="1"/>
        <v>3.1927019928471165</v>
      </c>
      <c r="E16" s="48">
        <f t="shared" si="2"/>
        <v>-7.6086663751361527E-2</v>
      </c>
      <c r="F16" s="48">
        <f t="shared" si="3"/>
        <v>-3.8241010826774433E-2</v>
      </c>
      <c r="G16" s="48">
        <f t="shared" si="4"/>
        <v>3.2305476457717037</v>
      </c>
      <c r="H16" s="30">
        <f t="shared" si="5"/>
        <v>0</v>
      </c>
    </row>
    <row r="17" spans="2:8" x14ac:dyDescent="0.25">
      <c r="B17" s="26">
        <v>14</v>
      </c>
      <c r="C17" s="52">
        <f t="shared" si="0"/>
        <v>1.3986444352451872E-2</v>
      </c>
      <c r="D17" s="52">
        <f t="shared" si="1"/>
        <v>1.3726550136797936E-2</v>
      </c>
      <c r="E17" s="48">
        <f t="shared" si="2"/>
        <v>-2.5989421565393578E-4</v>
      </c>
      <c r="F17" s="48">
        <f t="shared" si="3"/>
        <v>-1.3062233280612676E-4</v>
      </c>
      <c r="G17" s="48">
        <f t="shared" si="4"/>
        <v>1.3855822019645745E-2</v>
      </c>
      <c r="H17" s="30">
        <f t="shared" si="5"/>
        <v>0</v>
      </c>
    </row>
    <row r="18" spans="2:8" x14ac:dyDescent="0.25">
      <c r="B18" s="26">
        <v>15</v>
      </c>
      <c r="C18" s="52">
        <f t="shared" si="0"/>
        <v>0.7739736036483279</v>
      </c>
      <c r="D18" s="52">
        <f t="shared" si="1"/>
        <v>0.47689818111624066</v>
      </c>
      <c r="E18" s="48">
        <f t="shared" si="2"/>
        <v>-0.29707542253208724</v>
      </c>
      <c r="F18" s="48">
        <f t="shared" si="3"/>
        <v>-0.14930953585430204</v>
      </c>
      <c r="G18" s="48">
        <f t="shared" si="4"/>
        <v>0.62466406779402583</v>
      </c>
      <c r="H18" s="30">
        <f t="shared" si="5"/>
        <v>0</v>
      </c>
    </row>
    <row r="19" spans="2:8" x14ac:dyDescent="0.25">
      <c r="B19" s="26">
        <v>16</v>
      </c>
      <c r="C19" s="52">
        <f t="shared" si="0"/>
        <v>9.3355107602731344E-3</v>
      </c>
      <c r="D19" s="52">
        <f t="shared" si="1"/>
        <v>1.1176506405604431E-2</v>
      </c>
      <c r="E19" s="48">
        <f t="shared" si="2"/>
        <v>1.8409956453312969E-3</v>
      </c>
      <c r="F19" s="48">
        <f t="shared" si="3"/>
        <v>9.2528086965698911E-4</v>
      </c>
      <c r="G19" s="48">
        <f t="shared" si="4"/>
        <v>1.0260791629930124E-2</v>
      </c>
      <c r="H19" s="30">
        <f t="shared" si="5"/>
        <v>0</v>
      </c>
    </row>
    <row r="20" spans="2:8" x14ac:dyDescent="0.25">
      <c r="B20" s="26">
        <v>17</v>
      </c>
      <c r="C20" s="52">
        <f t="shared" si="0"/>
        <v>2.7954962272937816</v>
      </c>
      <c r="D20" s="52">
        <f t="shared" si="1"/>
        <v>2.4617473384512585</v>
      </c>
      <c r="E20" s="48">
        <f t="shared" si="2"/>
        <v>-0.33374888884252307</v>
      </c>
      <c r="F20" s="48">
        <f t="shared" si="3"/>
        <v>-0.16774154946992897</v>
      </c>
      <c r="G20" s="48">
        <f t="shared" si="4"/>
        <v>2.6277546778238525</v>
      </c>
      <c r="H20" s="30">
        <f t="shared" si="5"/>
        <v>0</v>
      </c>
    </row>
    <row r="21" spans="2:8" x14ac:dyDescent="0.25">
      <c r="B21" s="26">
        <v>18</v>
      </c>
      <c r="C21" s="52">
        <f t="shared" si="0"/>
        <v>3.2624660891922676E-3</v>
      </c>
      <c r="D21" s="52">
        <f t="shared" si="1"/>
        <v>9.7248963017647263E-4</v>
      </c>
      <c r="E21" s="48">
        <f t="shared" si="2"/>
        <v>-2.289976459015795E-3</v>
      </c>
      <c r="F21" s="48">
        <f t="shared" si="3"/>
        <v>-1.1509377628706261E-3</v>
      </c>
      <c r="G21" s="48">
        <f t="shared" si="4"/>
        <v>2.1115283263216413E-3</v>
      </c>
      <c r="H21" s="30">
        <f t="shared" si="5"/>
        <v>0</v>
      </c>
    </row>
    <row r="22" spans="2:8" x14ac:dyDescent="0.25">
      <c r="B22" s="26">
        <v>19</v>
      </c>
      <c r="C22" s="52">
        <f t="shared" si="0"/>
        <v>1.8152549557696753</v>
      </c>
      <c r="D22" s="52">
        <f t="shared" si="1"/>
        <v>1.7533389509717254</v>
      </c>
      <c r="E22" s="48">
        <f t="shared" si="2"/>
        <v>-6.1916004797949897E-2</v>
      </c>
      <c r="F22" s="48">
        <f t="shared" si="3"/>
        <v>-3.1118864898142553E-2</v>
      </c>
      <c r="G22" s="48">
        <f t="shared" si="4"/>
        <v>1.7841360908715327</v>
      </c>
      <c r="H22" s="30">
        <f t="shared" si="5"/>
        <v>0</v>
      </c>
    </row>
    <row r="23" spans="2:8" x14ac:dyDescent="0.25">
      <c r="B23" s="26">
        <v>20</v>
      </c>
      <c r="C23" s="52">
        <f t="shared" si="0"/>
        <v>1.1519216055600136E-2</v>
      </c>
      <c r="D23" s="52">
        <f t="shared" si="1"/>
        <v>1.2482583619361326E-2</v>
      </c>
      <c r="E23" s="48">
        <f t="shared" si="2"/>
        <v>9.633675637611902E-4</v>
      </c>
      <c r="F23" s="48">
        <f t="shared" si="3"/>
        <v>4.8418668423079269E-4</v>
      </c>
      <c r="G23" s="48">
        <f t="shared" si="4"/>
        <v>1.2003402739830929E-2</v>
      </c>
      <c r="H23" s="30">
        <f t="shared" si="5"/>
        <v>0</v>
      </c>
    </row>
    <row r="24" spans="2:8" x14ac:dyDescent="0.25">
      <c r="B24" s="26">
        <v>21</v>
      </c>
      <c r="C24" s="52">
        <f t="shared" si="0"/>
        <v>0.51232861946084751</v>
      </c>
      <c r="D24" s="52">
        <f t="shared" si="1"/>
        <v>0.33639919482821595</v>
      </c>
      <c r="E24" s="48">
        <f t="shared" si="2"/>
        <v>-0.17592942463263156</v>
      </c>
      <c r="F24" s="48">
        <f t="shared" si="3"/>
        <v>-8.8421790369330941E-2</v>
      </c>
      <c r="G24" s="48">
        <f t="shared" si="4"/>
        <v>0.42390682909151656</v>
      </c>
      <c r="H24" s="30">
        <f t="shared" si="5"/>
        <v>0</v>
      </c>
    </row>
    <row r="25" spans="2:8" x14ac:dyDescent="0.25">
      <c r="B25" s="26">
        <v>22</v>
      </c>
      <c r="C25" s="52">
        <f t="shared" si="0"/>
        <v>1.3328297513609087E-2</v>
      </c>
      <c r="D25" s="52">
        <f t="shared" si="1"/>
        <v>9.9334339431091864E-3</v>
      </c>
      <c r="E25" s="48">
        <f t="shared" si="2"/>
        <v>-3.3948635704999005E-3</v>
      </c>
      <c r="F25" s="48">
        <f t="shared" si="3"/>
        <v>-1.7062518995332569E-3</v>
      </c>
      <c r="G25" s="48">
        <f t="shared" si="4"/>
        <v>1.1622045614075829E-2</v>
      </c>
      <c r="H25" s="30">
        <f t="shared" si="5"/>
        <v>0</v>
      </c>
    </row>
    <row r="26" spans="2:8" x14ac:dyDescent="0.25">
      <c r="B26" s="26">
        <v>23</v>
      </c>
      <c r="C26" s="52">
        <f t="shared" si="0"/>
        <v>1.3645089433593613</v>
      </c>
      <c r="D26" s="52">
        <f t="shared" si="1"/>
        <v>1.1709027163413299</v>
      </c>
      <c r="E26" s="48">
        <f t="shared" si="2"/>
        <v>-0.19360622701803143</v>
      </c>
      <c r="F26" s="48">
        <f t="shared" si="3"/>
        <v>-9.7306117241801174E-2</v>
      </c>
      <c r="G26" s="48">
        <f t="shared" si="4"/>
        <v>1.2672028261175601</v>
      </c>
      <c r="H26" s="30">
        <f t="shared" si="5"/>
        <v>0</v>
      </c>
    </row>
    <row r="27" spans="2:8" x14ac:dyDescent="0.25">
      <c r="B27" s="26">
        <v>24</v>
      </c>
      <c r="C27" s="52">
        <f t="shared" si="0"/>
        <v>5.8116700278296428E-3</v>
      </c>
      <c r="D27" s="52">
        <f t="shared" si="1"/>
        <v>2.9855222275943743E-3</v>
      </c>
      <c r="E27" s="48">
        <f t="shared" si="2"/>
        <v>-2.8261478002352684E-3</v>
      </c>
      <c r="F27" s="48">
        <f t="shared" si="3"/>
        <v>-1.4204164474871947E-3</v>
      </c>
      <c r="G27" s="48">
        <f t="shared" si="4"/>
        <v>4.3912535803424481E-3</v>
      </c>
      <c r="H27" s="30">
        <f t="shared" si="5"/>
        <v>0</v>
      </c>
    </row>
    <row r="28" spans="2:8" x14ac:dyDescent="0.25">
      <c r="B28" s="26">
        <v>25</v>
      </c>
      <c r="C28" s="52">
        <f t="shared" si="0"/>
        <v>1.0203047520164361</v>
      </c>
      <c r="D28" s="52">
        <f t="shared" si="1"/>
        <v>0.89181945133108653</v>
      </c>
      <c r="E28" s="48">
        <f t="shared" si="2"/>
        <v>-0.12848530068534958</v>
      </c>
      <c r="F28" s="48">
        <f t="shared" si="3"/>
        <v>-6.4576464945894002E-2</v>
      </c>
      <c r="G28" s="48">
        <f t="shared" si="4"/>
        <v>0.95572828707054214</v>
      </c>
      <c r="H28" s="30">
        <f t="shared" si="5"/>
        <v>0</v>
      </c>
    </row>
    <row r="29" spans="2:8" x14ac:dyDescent="0.25">
      <c r="B29" s="26">
        <v>26</v>
      </c>
      <c r="C29" s="52">
        <f t="shared" si="0"/>
        <v>1.2261667576280695E-2</v>
      </c>
      <c r="D29" s="52">
        <f t="shared" si="1"/>
        <v>1.1494261330574136E-2</v>
      </c>
      <c r="E29" s="48">
        <f t="shared" si="2"/>
        <v>-7.6740624570655926E-4</v>
      </c>
      <c r="F29" s="48">
        <f t="shared" si="3"/>
        <v>-3.8569690276469399E-4</v>
      </c>
      <c r="G29" s="48">
        <f t="shared" si="4"/>
        <v>1.1875970673516001E-2</v>
      </c>
      <c r="H29" s="30">
        <f t="shared" si="5"/>
        <v>0</v>
      </c>
    </row>
    <row r="30" spans="2:8" x14ac:dyDescent="0.25">
      <c r="B30" s="26">
        <v>27</v>
      </c>
      <c r="C30" s="52">
        <f t="shared" si="0"/>
        <v>0.40809218499146371</v>
      </c>
      <c r="D30" s="52">
        <f t="shared" si="1"/>
        <v>0.28326195110267732</v>
      </c>
      <c r="E30" s="48">
        <f t="shared" si="2"/>
        <v>-0.12483023388878639</v>
      </c>
      <c r="F30" s="48">
        <f t="shared" si="3"/>
        <v>-6.2739435405517352E-2</v>
      </c>
      <c r="G30" s="48">
        <f t="shared" si="4"/>
        <v>0.34535274958594636</v>
      </c>
      <c r="H30" s="30">
        <f t="shared" si="5"/>
        <v>0</v>
      </c>
    </row>
    <row r="31" spans="2:8" x14ac:dyDescent="0.25">
      <c r="B31" s="26">
        <v>28</v>
      </c>
      <c r="C31" s="52">
        <f t="shared" si="0"/>
        <v>1.2556658041302614E-2</v>
      </c>
      <c r="D31" s="52">
        <f t="shared" si="1"/>
        <v>1.0537656791068419E-2</v>
      </c>
      <c r="E31" s="48">
        <f t="shared" si="2"/>
        <v>-2.0190012502341956E-3</v>
      </c>
      <c r="F31" s="48">
        <f t="shared" si="3"/>
        <v>-1.0147461442360243E-3</v>
      </c>
      <c r="G31" s="48">
        <f t="shared" si="4"/>
        <v>1.154191189706659E-2</v>
      </c>
      <c r="H31" s="30">
        <f t="shared" si="5"/>
        <v>0</v>
      </c>
    </row>
    <row r="32" spans="2:8" x14ac:dyDescent="0.25">
      <c r="B32" s="26">
        <v>29</v>
      </c>
      <c r="C32" s="52">
        <f t="shared" si="0"/>
        <v>0.75870567381450926</v>
      </c>
      <c r="D32" s="52">
        <f t="shared" si="1"/>
        <v>0.75678843679568575</v>
      </c>
      <c r="E32" s="48">
        <f t="shared" si="2"/>
        <v>-1.9172370188235144E-3</v>
      </c>
      <c r="F32" s="48">
        <f t="shared" si="3"/>
        <v>-9.6359963730188898E-4</v>
      </c>
      <c r="G32" s="48">
        <f t="shared" si="4"/>
        <v>0.7577420741772074</v>
      </c>
      <c r="H32" s="30">
        <f t="shared" si="5"/>
        <v>0</v>
      </c>
    </row>
    <row r="33" spans="2:8" x14ac:dyDescent="0.25">
      <c r="B33" s="26">
        <v>30</v>
      </c>
      <c r="C33" s="52">
        <f t="shared" si="0"/>
        <v>4.6053075814346854E-3</v>
      </c>
      <c r="D33" s="52">
        <f t="shared" si="1"/>
        <v>3.6991571943863818E-3</v>
      </c>
      <c r="E33" s="48">
        <f t="shared" si="2"/>
        <v>-9.0615038704830366E-4</v>
      </c>
      <c r="F33" s="48">
        <f t="shared" si="3"/>
        <v>-4.5542944128865084E-4</v>
      </c>
      <c r="G33" s="48">
        <f t="shared" si="4"/>
        <v>4.1498781401460346E-3</v>
      </c>
      <c r="H33" s="30">
        <f t="shared" si="5"/>
        <v>0</v>
      </c>
    </row>
    <row r="34" spans="2:8" x14ac:dyDescent="0.25">
      <c r="B34" s="26">
        <v>31</v>
      </c>
      <c r="C34" s="52">
        <f t="shared" si="0"/>
        <v>0.56772740214173922</v>
      </c>
      <c r="D34" s="52">
        <f t="shared" si="1"/>
        <v>0.46221863452787271</v>
      </c>
      <c r="E34" s="48">
        <f t="shared" si="2"/>
        <v>-0.10550876761386652</v>
      </c>
      <c r="F34" s="48">
        <f t="shared" si="3"/>
        <v>-5.3028503626160073E-2</v>
      </c>
      <c r="G34" s="48">
        <f t="shared" si="4"/>
        <v>0.51469889851557915</v>
      </c>
      <c r="H34" s="30">
        <f t="shared" si="5"/>
        <v>0</v>
      </c>
    </row>
    <row r="35" spans="2:8" x14ac:dyDescent="0.25">
      <c r="B35" s="26">
        <v>32</v>
      </c>
      <c r="C35" s="52">
        <f t="shared" si="0"/>
        <v>8.8970610246392086E-3</v>
      </c>
      <c r="D35" s="52">
        <f t="shared" si="1"/>
        <v>1.1901375104307985E-2</v>
      </c>
      <c r="E35" s="48">
        <f t="shared" si="2"/>
        <v>3.004314079668776E-3</v>
      </c>
      <c r="F35" s="48">
        <f t="shared" si="3"/>
        <v>1.50996247677621E-3</v>
      </c>
      <c r="G35" s="48">
        <f t="shared" si="4"/>
        <v>1.0407023501415419E-2</v>
      </c>
      <c r="H35" s="30">
        <f t="shared" si="5"/>
        <v>0</v>
      </c>
    </row>
    <row r="36" spans="2:8" x14ac:dyDescent="0.25">
      <c r="B36" s="26">
        <v>33</v>
      </c>
      <c r="C36" s="52">
        <f t="shared" si="0"/>
        <v>0.34165566585023771</v>
      </c>
      <c r="D36" s="52">
        <f t="shared" si="1"/>
        <v>0.22742267911109676</v>
      </c>
      <c r="E36" s="48">
        <f t="shared" si="2"/>
        <v>-0.11423298673914095</v>
      </c>
      <c r="F36" s="48">
        <f t="shared" si="3"/>
        <v>-5.7413279374969303E-2</v>
      </c>
      <c r="G36" s="48">
        <f t="shared" si="4"/>
        <v>0.28424238647526839</v>
      </c>
      <c r="H36" s="30">
        <f t="shared" si="5"/>
        <v>0</v>
      </c>
    </row>
    <row r="37" spans="2:8" x14ac:dyDescent="0.25">
      <c r="B37" s="26">
        <v>34</v>
      </c>
      <c r="C37" s="52">
        <f t="shared" si="0"/>
        <v>0.21861320828195963</v>
      </c>
      <c r="D37" s="52">
        <f t="shared" si="1"/>
        <v>0.14805460867942424</v>
      </c>
      <c r="E37" s="48">
        <f t="shared" si="2"/>
        <v>-7.0558599602535382E-2</v>
      </c>
      <c r="F37" s="48">
        <f t="shared" si="3"/>
        <v>-3.5462616420401459E-2</v>
      </c>
      <c r="G37" s="48">
        <f t="shared" si="4"/>
        <v>0.18315059186155816</v>
      </c>
      <c r="H37" s="30">
        <f t="shared" si="5"/>
        <v>0</v>
      </c>
    </row>
    <row r="38" spans="2:8" x14ac:dyDescent="0.25">
      <c r="B38" s="26">
        <v>35</v>
      </c>
      <c r="C38" s="52">
        <f t="shared" si="0"/>
        <v>0.51648077967213191</v>
      </c>
      <c r="D38" s="52">
        <f t="shared" si="1"/>
        <v>0.5658478637815777</v>
      </c>
      <c r="E38" s="48">
        <f t="shared" si="2"/>
        <v>4.9367084109445791E-2</v>
      </c>
      <c r="F38" s="48">
        <f t="shared" si="3"/>
        <v>2.4811801501571536E-2</v>
      </c>
      <c r="G38" s="48">
        <f t="shared" si="4"/>
        <v>0.54129258117370349</v>
      </c>
      <c r="H38" s="30">
        <f t="shared" si="5"/>
        <v>0</v>
      </c>
    </row>
    <row r="39" spans="2:8" x14ac:dyDescent="0.25">
      <c r="B39" s="26">
        <v>36</v>
      </c>
      <c r="C39" s="52">
        <f t="shared" si="0"/>
        <v>0.21861320828195963</v>
      </c>
      <c r="D39" s="52">
        <f t="shared" si="1"/>
        <v>0.14805460867942424</v>
      </c>
      <c r="E39" s="48">
        <f t="shared" si="2"/>
        <v>-7.0558599602535382E-2</v>
      </c>
      <c r="F39" s="48">
        <f t="shared" si="3"/>
        <v>-3.5462616420401459E-2</v>
      </c>
      <c r="G39" s="48">
        <f t="shared" si="4"/>
        <v>0.18315059186155816</v>
      </c>
      <c r="H39" s="30">
        <f t="shared" si="5"/>
        <v>0</v>
      </c>
    </row>
    <row r="40" spans="2:8" x14ac:dyDescent="0.25">
      <c r="B40" s="26">
        <v>37</v>
      </c>
      <c r="C40" s="52">
        <f t="shared" si="0"/>
        <v>0.34192356461046053</v>
      </c>
      <c r="D40" s="52">
        <f t="shared" si="1"/>
        <v>0.32136315457507253</v>
      </c>
      <c r="E40" s="48">
        <f t="shared" si="2"/>
        <v>-2.0560410035387999E-2</v>
      </c>
      <c r="F40" s="48">
        <f t="shared" si="3"/>
        <v>-1.0333622529902615E-2</v>
      </c>
      <c r="G40" s="48">
        <f t="shared" si="4"/>
        <v>0.33158994208055792</v>
      </c>
      <c r="H40" s="30">
        <f t="shared" si="5"/>
        <v>0</v>
      </c>
    </row>
    <row r="41" spans="2:8" x14ac:dyDescent="0.25">
      <c r="B41" s="26">
        <v>38</v>
      </c>
      <c r="C41" s="52">
        <f t="shared" si="0"/>
        <v>0.21861320828195963</v>
      </c>
      <c r="D41" s="52">
        <f t="shared" si="1"/>
        <v>0.14805460867942424</v>
      </c>
      <c r="E41" s="48">
        <f t="shared" si="2"/>
        <v>-7.0558599602535382E-2</v>
      </c>
      <c r="F41" s="48">
        <f t="shared" si="3"/>
        <v>-3.5462616420401459E-2</v>
      </c>
      <c r="G41" s="48">
        <f t="shared" si="4"/>
        <v>0.18315059186155816</v>
      </c>
      <c r="H41" s="30">
        <f t="shared" si="5"/>
        <v>0</v>
      </c>
    </row>
    <row r="42" spans="2:8" x14ac:dyDescent="0.25">
      <c r="B42" s="26">
        <v>39</v>
      </c>
      <c r="C42" s="52">
        <f t="shared" si="0"/>
        <v>0.27640701454444089</v>
      </c>
      <c r="D42" s="52">
        <f t="shared" si="1"/>
        <v>0.17818419975534588</v>
      </c>
      <c r="E42" s="48">
        <f t="shared" si="2"/>
        <v>-9.8222814789095003E-2</v>
      </c>
      <c r="F42" s="48">
        <f t="shared" si="3"/>
        <v>-4.9366597753063235E-2</v>
      </c>
      <c r="G42" s="48">
        <f t="shared" si="4"/>
        <v>0.22704041679137765</v>
      </c>
      <c r="H42" s="30">
        <f t="shared" si="5"/>
        <v>0</v>
      </c>
    </row>
    <row r="43" spans="2:8" x14ac:dyDescent="0.25">
      <c r="B43" s="26">
        <v>40</v>
      </c>
      <c r="C43" s="52">
        <f t="shared" si="0"/>
        <v>0.21861320828195963</v>
      </c>
      <c r="D43" s="52">
        <f t="shared" si="1"/>
        <v>0.14805460867942424</v>
      </c>
      <c r="E43" s="48">
        <f t="shared" si="2"/>
        <v>-7.0558599602535382E-2</v>
      </c>
      <c r="F43" s="48">
        <f t="shared" si="3"/>
        <v>-3.5462616420401459E-2</v>
      </c>
      <c r="G43" s="48">
        <f t="shared" si="4"/>
        <v>0.18315059186155816</v>
      </c>
      <c r="H43" s="30">
        <f t="shared" si="5"/>
        <v>0</v>
      </c>
    </row>
    <row r="44" spans="2:8" x14ac:dyDescent="0.25">
      <c r="B44" s="26">
        <v>41</v>
      </c>
      <c r="C44" s="52">
        <f t="shared" si="0"/>
        <v>0.39951328972932304</v>
      </c>
      <c r="D44" s="52">
        <f t="shared" si="1"/>
        <v>0.41594580564321404</v>
      </c>
      <c r="E44" s="48">
        <f t="shared" si="2"/>
        <v>1.6432515913890999E-2</v>
      </c>
      <c r="F44" s="48">
        <f t="shared" si="3"/>
        <v>8.2589508856340688E-3</v>
      </c>
      <c r="G44" s="48">
        <f t="shared" si="4"/>
        <v>0.40777224061495709</v>
      </c>
      <c r="H44" s="30">
        <f t="shared" si="5"/>
        <v>0</v>
      </c>
    </row>
    <row r="45" spans="2:8" x14ac:dyDescent="0.25">
      <c r="B45" s="26">
        <v>42</v>
      </c>
      <c r="C45" s="52">
        <f t="shared" si="0"/>
        <v>0.21861320828195963</v>
      </c>
      <c r="D45" s="52">
        <f t="shared" si="1"/>
        <v>0.14805460867942424</v>
      </c>
      <c r="E45" s="48">
        <f t="shared" si="2"/>
        <v>-7.0558599602535382E-2</v>
      </c>
      <c r="F45" s="48">
        <f t="shared" si="3"/>
        <v>-3.5462616420401459E-2</v>
      </c>
      <c r="G45" s="48">
        <f t="shared" si="4"/>
        <v>0.18315059186155816</v>
      </c>
      <c r="H45" s="30">
        <f t="shared" si="5"/>
        <v>0</v>
      </c>
    </row>
    <row r="46" spans="2:8" x14ac:dyDescent="0.25">
      <c r="B46" s="26">
        <v>43</v>
      </c>
      <c r="C46" s="52">
        <f t="shared" si="0"/>
        <v>0.25538951981730396</v>
      </c>
      <c r="D46" s="52">
        <f t="shared" si="1"/>
        <v>0.24818871965708805</v>
      </c>
      <c r="E46" s="48">
        <f t="shared" si="2"/>
        <v>-7.2008001602159033E-3</v>
      </c>
      <c r="F46" s="48">
        <f t="shared" si="3"/>
        <v>-3.6191083077069196E-3</v>
      </c>
      <c r="G46" s="48">
        <f t="shared" si="4"/>
        <v>0.25177041150959706</v>
      </c>
      <c r="H46" s="30">
        <f t="shared" si="5"/>
        <v>0</v>
      </c>
    </row>
    <row r="47" spans="2:8" x14ac:dyDescent="0.25">
      <c r="B47" s="26">
        <v>44</v>
      </c>
      <c r="C47" s="52">
        <f t="shared" si="0"/>
        <v>0.21861320828195963</v>
      </c>
      <c r="D47" s="52">
        <f t="shared" si="1"/>
        <v>0.14805460867942424</v>
      </c>
      <c r="E47" s="48">
        <f t="shared" si="2"/>
        <v>-7.0558599602535382E-2</v>
      </c>
      <c r="F47" s="48">
        <f t="shared" si="3"/>
        <v>-3.5462616420401459E-2</v>
      </c>
      <c r="G47" s="48">
        <f t="shared" si="4"/>
        <v>0.18315059186155816</v>
      </c>
      <c r="H47" s="30">
        <f t="shared" si="5"/>
        <v>0</v>
      </c>
    </row>
    <row r="48" spans="2:8" x14ac:dyDescent="0.25">
      <c r="B48" s="26">
        <v>45</v>
      </c>
      <c r="C48" s="52">
        <f t="shared" si="0"/>
        <v>0.21866515563030009</v>
      </c>
      <c r="D48" s="52">
        <f t="shared" si="1"/>
        <v>0.14808361462956454</v>
      </c>
      <c r="E48" s="48">
        <f t="shared" si="2"/>
        <v>-7.0581541000735548E-2</v>
      </c>
      <c r="F48" s="48">
        <f t="shared" si="3"/>
        <v>-3.5474146723002462E-2</v>
      </c>
      <c r="G48" s="48">
        <f t="shared" si="4"/>
        <v>0.18319100890729761</v>
      </c>
      <c r="H48" s="30">
        <f t="shared" si="5"/>
        <v>0</v>
      </c>
    </row>
    <row r="49" spans="1:21" x14ac:dyDescent="0.25">
      <c r="B49" s="26">
        <v>46</v>
      </c>
      <c r="C49" s="52">
        <f t="shared" si="0"/>
        <v>0.21861320828195963</v>
      </c>
      <c r="D49" s="52">
        <f t="shared" si="1"/>
        <v>0.14805460867942424</v>
      </c>
      <c r="E49" s="48">
        <f t="shared" si="2"/>
        <v>-7.0558599602535382E-2</v>
      </c>
      <c r="F49" s="48">
        <f t="shared" si="3"/>
        <v>-3.5462616420401459E-2</v>
      </c>
      <c r="G49" s="48">
        <f t="shared" si="4"/>
        <v>0.18315059186155816</v>
      </c>
      <c r="H49" s="30">
        <f t="shared" si="5"/>
        <v>0</v>
      </c>
    </row>
    <row r="50" spans="1:21" x14ac:dyDescent="0.25">
      <c r="B50" s="26">
        <v>47</v>
      </c>
      <c r="C50" s="52">
        <f t="shared" si="0"/>
        <v>0.2940568330031525</v>
      </c>
      <c r="D50" s="52">
        <f t="shared" si="1"/>
        <v>0.2786885915405366</v>
      </c>
      <c r="E50" s="48">
        <f t="shared" si="2"/>
        <v>-1.5368241462615895E-2</v>
      </c>
      <c r="F50" s="48">
        <f t="shared" si="3"/>
        <v>-7.7240485938623073E-3</v>
      </c>
      <c r="G50" s="48">
        <f t="shared" si="4"/>
        <v>0.28633278440929016</v>
      </c>
      <c r="H50" s="30">
        <f t="shared" si="5"/>
        <v>0</v>
      </c>
    </row>
    <row r="51" spans="1:21" x14ac:dyDescent="0.25">
      <c r="B51" s="26">
        <v>48</v>
      </c>
      <c r="C51" s="52">
        <f t="shared" si="0"/>
        <v>0.21861320828195963</v>
      </c>
      <c r="D51" s="52">
        <f t="shared" si="1"/>
        <v>0.14805460867942424</v>
      </c>
      <c r="E51" s="48">
        <f t="shared" si="2"/>
        <v>-7.0558599602535382E-2</v>
      </c>
      <c r="F51" s="48">
        <f t="shared" si="3"/>
        <v>-3.5462616420401459E-2</v>
      </c>
      <c r="G51" s="48">
        <f t="shared" si="4"/>
        <v>0.18315059186155816</v>
      </c>
      <c r="H51" s="30">
        <f t="shared" si="5"/>
        <v>0</v>
      </c>
    </row>
    <row r="52" spans="1:21" x14ac:dyDescent="0.25">
      <c r="B52" s="26">
        <v>49</v>
      </c>
      <c r="C52" s="52">
        <f t="shared" si="0"/>
        <v>0.19635848943192444</v>
      </c>
      <c r="D52" s="52">
        <f t="shared" si="1"/>
        <v>0.18022284651166184</v>
      </c>
      <c r="E52" s="48">
        <f t="shared" si="2"/>
        <v>-1.6135642920262594E-2</v>
      </c>
      <c r="F52" s="48">
        <f t="shared" si="3"/>
        <v>-8.1097430901573269E-3</v>
      </c>
      <c r="G52" s="48">
        <f t="shared" si="4"/>
        <v>0.18824874634176711</v>
      </c>
      <c r="H52" s="30">
        <f t="shared" si="5"/>
        <v>0</v>
      </c>
    </row>
    <row r="53" spans="1:21" x14ac:dyDescent="0.25">
      <c r="B53" s="26">
        <v>50</v>
      </c>
      <c r="C53" s="52">
        <f t="shared" si="0"/>
        <v>0.21861320828195963</v>
      </c>
      <c r="D53" s="52">
        <f t="shared" si="1"/>
        <v>0.14805460867942424</v>
      </c>
      <c r="E53" s="48">
        <f t="shared" si="2"/>
        <v>-7.0558599602535382E-2</v>
      </c>
      <c r="F53" s="48">
        <f t="shared" si="3"/>
        <v>-3.5462616420401459E-2</v>
      </c>
      <c r="G53" s="48">
        <f t="shared" si="4"/>
        <v>0.18315059186155816</v>
      </c>
      <c r="H53" s="30">
        <f t="shared" si="5"/>
        <v>0</v>
      </c>
    </row>
    <row r="54" spans="1:21" x14ac:dyDescent="0.25">
      <c r="C54" s="41"/>
      <c r="D54" s="41"/>
      <c r="E54" s="32"/>
      <c r="F54" s="32"/>
    </row>
    <row r="55" spans="1:21" x14ac:dyDescent="0.25">
      <c r="F55" s="26" t="s">
        <v>85</v>
      </c>
      <c r="G55" s="29">
        <f>IF(H4=0,0,100*H55/H4)</f>
        <v>0</v>
      </c>
      <c r="H55" s="29">
        <f>SQRT(SUMSQ(H5:H53))</f>
        <v>0</v>
      </c>
      <c r="I55" s="26" t="s">
        <v>52</v>
      </c>
    </row>
    <row r="56" spans="1:21" x14ac:dyDescent="0.25">
      <c r="F56" s="26" t="s">
        <v>86</v>
      </c>
      <c r="G56" s="29">
        <f>SQRT(SUMSQ(G4:G53))</f>
        <v>107.1485200096114</v>
      </c>
      <c r="H56" s="29">
        <f>SQRT(SUMSQ(H4:H53))</f>
        <v>0</v>
      </c>
      <c r="I56" s="26" t="s">
        <v>54</v>
      </c>
    </row>
    <row r="57" spans="1:21" x14ac:dyDescent="0.25">
      <c r="G57" s="26" t="s">
        <v>87</v>
      </c>
      <c r="H57" s="26" t="s">
        <v>13</v>
      </c>
    </row>
    <row r="59" spans="1:21" x14ac:dyDescent="0.25">
      <c r="A59" s="25" t="s">
        <v>63</v>
      </c>
      <c r="C59" s="36"/>
      <c r="D59" s="36"/>
      <c r="E59" s="36"/>
      <c r="F59" s="36"/>
      <c r="G59" s="36"/>
      <c r="H59" s="36"/>
      <c r="I59" s="36"/>
      <c r="J59" s="36"/>
      <c r="K59" s="36"/>
      <c r="L59" s="36"/>
      <c r="M59" s="36"/>
      <c r="N59" s="36"/>
      <c r="O59" s="36"/>
      <c r="P59" s="36"/>
      <c r="Q59" s="36"/>
      <c r="R59" s="36"/>
      <c r="S59" s="36"/>
    </row>
    <row r="60" spans="1:21" ht="14.4" x14ac:dyDescent="0.3">
      <c r="C60" s="1" t="s">
        <v>478</v>
      </c>
      <c r="D60" s="7">
        <f>100/D62</f>
        <v>1000</v>
      </c>
      <c r="E60" s="7">
        <f t="shared" ref="E60:U60" si="6">100/E62</f>
        <v>200</v>
      </c>
      <c r="F60" s="7">
        <f t="shared" si="6"/>
        <v>100</v>
      </c>
      <c r="G60" s="7">
        <f t="shared" si="6"/>
        <v>50</v>
      </c>
      <c r="H60" s="7">
        <f t="shared" si="6"/>
        <v>33.333333333333336</v>
      </c>
      <c r="I60" s="7">
        <f t="shared" si="6"/>
        <v>25</v>
      </c>
      <c r="J60" s="7">
        <f t="shared" si="6"/>
        <v>20</v>
      </c>
      <c r="K60" s="7">
        <f t="shared" si="6"/>
        <v>16.666666666666668</v>
      </c>
      <c r="L60" s="7">
        <f t="shared" si="6"/>
        <v>14.285714285714286</v>
      </c>
      <c r="M60" s="7">
        <f t="shared" si="6"/>
        <v>12.5</v>
      </c>
      <c r="N60" s="7">
        <f t="shared" si="6"/>
        <v>10</v>
      </c>
      <c r="O60" s="7">
        <f t="shared" si="6"/>
        <v>8.3333333333333339</v>
      </c>
      <c r="P60" s="7">
        <f t="shared" si="6"/>
        <v>7.1428571428571432</v>
      </c>
      <c r="Q60" s="7">
        <f t="shared" si="6"/>
        <v>5.5555555555555554</v>
      </c>
      <c r="R60" s="7">
        <f t="shared" si="6"/>
        <v>4.7619047619047619</v>
      </c>
      <c r="S60" s="7">
        <f t="shared" si="6"/>
        <v>1</v>
      </c>
      <c r="T60" s="7">
        <f t="shared" si="6"/>
        <v>0.1</v>
      </c>
      <c r="U60" s="7">
        <f t="shared" si="6"/>
        <v>0.01</v>
      </c>
    </row>
    <row r="61" spans="1:21" ht="14.4" x14ac:dyDescent="0.3">
      <c r="C61" s="1" t="s">
        <v>64</v>
      </c>
      <c r="D61">
        <v>0</v>
      </c>
      <c r="E61">
        <v>1</v>
      </c>
      <c r="F61">
        <v>2</v>
      </c>
      <c r="G61">
        <v>3</v>
      </c>
      <c r="H61">
        <v>4</v>
      </c>
      <c r="I61">
        <v>5</v>
      </c>
      <c r="J61">
        <v>6</v>
      </c>
      <c r="K61">
        <v>7</v>
      </c>
      <c r="L61">
        <v>8</v>
      </c>
      <c r="M61">
        <v>9</v>
      </c>
      <c r="N61">
        <v>10</v>
      </c>
      <c r="O61">
        <v>11</v>
      </c>
      <c r="P61">
        <v>12</v>
      </c>
      <c r="Q61">
        <v>13</v>
      </c>
      <c r="R61">
        <v>14</v>
      </c>
      <c r="S61">
        <v>15</v>
      </c>
      <c r="T61">
        <v>16</v>
      </c>
      <c r="U61">
        <v>17</v>
      </c>
    </row>
    <row r="62" spans="1:21" ht="14.4" x14ac:dyDescent="0.3">
      <c r="A62" s="26" t="s">
        <v>65</v>
      </c>
      <c r="B62" s="54"/>
      <c r="C62" s="216" t="s">
        <v>1</v>
      </c>
      <c r="D62" s="296">
        <v>0.1</v>
      </c>
      <c r="E62" s="296">
        <v>0.5</v>
      </c>
      <c r="F62" s="296">
        <v>1</v>
      </c>
      <c r="G62" s="296">
        <v>2</v>
      </c>
      <c r="H62" s="296">
        <v>3</v>
      </c>
      <c r="I62" s="296">
        <v>4</v>
      </c>
      <c r="J62" s="296">
        <v>5</v>
      </c>
      <c r="K62" s="296">
        <v>6</v>
      </c>
      <c r="L62" s="296">
        <v>7</v>
      </c>
      <c r="M62" s="296">
        <v>8</v>
      </c>
      <c r="N62" s="296">
        <v>10</v>
      </c>
      <c r="O62" s="296">
        <v>12</v>
      </c>
      <c r="P62" s="296">
        <v>14</v>
      </c>
      <c r="Q62" s="296">
        <v>18</v>
      </c>
      <c r="R62" s="296">
        <v>21</v>
      </c>
      <c r="S62" s="296">
        <v>100</v>
      </c>
      <c r="T62" s="296">
        <v>1000</v>
      </c>
      <c r="U62" s="296">
        <v>10000</v>
      </c>
    </row>
    <row r="63" spans="1:21" ht="14.4" x14ac:dyDescent="0.3">
      <c r="A63" s="31"/>
      <c r="C63" s="1" t="s">
        <v>64</v>
      </c>
      <c r="D63">
        <v>0</v>
      </c>
      <c r="E63">
        <v>1</v>
      </c>
      <c r="F63">
        <v>2</v>
      </c>
      <c r="G63">
        <v>3</v>
      </c>
      <c r="H63">
        <v>4</v>
      </c>
      <c r="I63">
        <v>5</v>
      </c>
      <c r="J63">
        <v>6</v>
      </c>
      <c r="K63">
        <v>7</v>
      </c>
      <c r="L63">
        <v>8</v>
      </c>
      <c r="M63">
        <v>9</v>
      </c>
      <c r="N63">
        <v>10</v>
      </c>
      <c r="O63">
        <v>11</v>
      </c>
      <c r="P63">
        <v>12</v>
      </c>
      <c r="Q63">
        <v>13</v>
      </c>
      <c r="R63">
        <v>14</v>
      </c>
      <c r="S63">
        <v>15</v>
      </c>
      <c r="T63">
        <v>16</v>
      </c>
      <c r="U63">
        <v>17</v>
      </c>
    </row>
    <row r="64" spans="1:21" ht="14.4" x14ac:dyDescent="0.3">
      <c r="A64" s="43">
        <v>2</v>
      </c>
      <c r="B64" s="43"/>
      <c r="C64" s="1"/>
      <c r="D64" s="298">
        <v>1.7291324964220301E-2</v>
      </c>
      <c r="E64" s="298">
        <v>6.6998018440489568E-2</v>
      </c>
      <c r="F64" s="298">
        <v>0.12416560747379798</v>
      </c>
      <c r="G64" s="298">
        <v>0.19164678959143519</v>
      </c>
      <c r="H64" s="298">
        <v>3.2432337711389723E-2</v>
      </c>
      <c r="I64" s="298">
        <v>2.6794917304969575E-2</v>
      </c>
      <c r="J64" s="298">
        <v>1.0787351058726545E-2</v>
      </c>
      <c r="K64" s="298">
        <v>1.5488830696511377E-2</v>
      </c>
      <c r="L64" s="298">
        <v>1.1120918013740941E-2</v>
      </c>
      <c r="M64" s="298">
        <v>1.2571907703050382E-2</v>
      </c>
      <c r="N64" s="298">
        <v>2.636287592484499E-2</v>
      </c>
      <c r="O64" s="298">
        <v>3.9068771982494086E-3</v>
      </c>
      <c r="P64" s="298">
        <v>1.783236037225493E-2</v>
      </c>
      <c r="Q64" s="298">
        <v>6.5715038062707058E-3</v>
      </c>
      <c r="R64" s="298">
        <v>5.7146036546192576E-3</v>
      </c>
      <c r="S64" s="298">
        <v>5.7146036546192576E-3</v>
      </c>
      <c r="T64" s="298">
        <v>5.7146036546192576E-3</v>
      </c>
      <c r="U64" s="298">
        <v>5.7146036546192576E-3</v>
      </c>
    </row>
    <row r="65" spans="1:21" ht="14.4" x14ac:dyDescent="0.3">
      <c r="A65" s="43">
        <v>3</v>
      </c>
      <c r="B65" s="43"/>
      <c r="C65" s="1"/>
      <c r="D65" s="298">
        <v>0.55385104430828935</v>
      </c>
      <c r="E65" s="298">
        <v>8.5473774716319078</v>
      </c>
      <c r="F65" s="298">
        <v>4.3857615521600959</v>
      </c>
      <c r="G65" s="298">
        <v>4.8916763402676038</v>
      </c>
      <c r="H65" s="298">
        <v>5.107248510230364</v>
      </c>
      <c r="I65" s="298">
        <v>6.2072885442798249</v>
      </c>
      <c r="J65" s="298">
        <v>7.7608557639223745</v>
      </c>
      <c r="K65" s="298">
        <v>5.1365577880102951</v>
      </c>
      <c r="L65" s="298">
        <v>3.7115343236794409</v>
      </c>
      <c r="M65" s="298">
        <v>2.8652501742303245</v>
      </c>
      <c r="N65" s="298">
        <v>1.976424393859703</v>
      </c>
      <c r="O65" s="298">
        <v>1.512989131711088</v>
      </c>
      <c r="P65" s="298">
        <v>1.2479844012146544</v>
      </c>
      <c r="Q65" s="298">
        <v>0.90186138282906037</v>
      </c>
      <c r="R65" s="298">
        <v>0.8611207071065603</v>
      </c>
      <c r="S65" s="298">
        <v>0.8611207071065603</v>
      </c>
      <c r="T65" s="298">
        <v>0.8611207071065603</v>
      </c>
      <c r="U65" s="298">
        <v>0.8611207071065603</v>
      </c>
    </row>
    <row r="66" spans="1:21" ht="14.4" x14ac:dyDescent="0.3">
      <c r="A66" s="43">
        <v>4</v>
      </c>
      <c r="B66" s="43"/>
      <c r="C66" s="1"/>
      <c r="D66" s="298">
        <v>0.13520250276733159</v>
      </c>
      <c r="E66" s="298">
        <v>2.8695360144102396E-2</v>
      </c>
      <c r="F66" s="298">
        <v>0.11237654569855723</v>
      </c>
      <c r="G66" s="298">
        <v>0.1270693443534559</v>
      </c>
      <c r="H66" s="298">
        <v>2.9673650735424224E-2</v>
      </c>
      <c r="I66" s="298">
        <v>2.1212221057019379E-2</v>
      </c>
      <c r="J66" s="298">
        <v>1.8916758051922035E-2</v>
      </c>
      <c r="K66" s="298">
        <v>2.4591818946340816E-2</v>
      </c>
      <c r="L66" s="298">
        <v>2.2309871990685983E-2</v>
      </c>
      <c r="M66" s="298">
        <v>1.4672119245636975E-2</v>
      </c>
      <c r="N66" s="298">
        <v>3.4977738354405041E-3</v>
      </c>
      <c r="O66" s="298">
        <v>3.318391374383355E-3</v>
      </c>
      <c r="P66" s="298">
        <v>1.8380050856337499E-2</v>
      </c>
      <c r="Q66" s="298">
        <v>5.7240454854559945E-3</v>
      </c>
      <c r="R66" s="298">
        <v>1.5847873572736098E-3</v>
      </c>
      <c r="S66" s="298">
        <v>1.5847873572736098E-3</v>
      </c>
      <c r="T66" s="298">
        <v>1.5847873572736098E-3</v>
      </c>
      <c r="U66" s="298">
        <v>1.5847873572736098E-3</v>
      </c>
    </row>
    <row r="67" spans="1:21" ht="14.4" x14ac:dyDescent="0.3">
      <c r="A67" s="43">
        <v>5</v>
      </c>
      <c r="B67" s="43"/>
      <c r="C67" s="1"/>
      <c r="D67" s="298">
        <v>93.368748010282204</v>
      </c>
      <c r="E67" s="298">
        <v>82.87682728374898</v>
      </c>
      <c r="F67" s="298">
        <v>73.247221838386295</v>
      </c>
      <c r="G67" s="298">
        <v>60.831459052554194</v>
      </c>
      <c r="H67" s="298">
        <v>49.382828970020235</v>
      </c>
      <c r="I67" s="298">
        <v>41.72752692184784</v>
      </c>
      <c r="J67" s="298">
        <v>37.27946499417164</v>
      </c>
      <c r="K67" s="298">
        <v>34.240442443062605</v>
      </c>
      <c r="L67" s="298">
        <v>31.801834469310585</v>
      </c>
      <c r="M67" s="298">
        <v>29.833911528390878</v>
      </c>
      <c r="N67" s="298">
        <v>26.829447444032468</v>
      </c>
      <c r="O67" s="298">
        <v>24.524377947577921</v>
      </c>
      <c r="P67" s="298">
        <v>22.666145948519805</v>
      </c>
      <c r="Q67" s="298">
        <v>19.683481307529799</v>
      </c>
      <c r="R67" s="298">
        <v>19.55420880107971</v>
      </c>
      <c r="S67" s="298">
        <v>19.55420880107971</v>
      </c>
      <c r="T67" s="298">
        <v>19.55420880107971</v>
      </c>
      <c r="U67" s="298">
        <v>19.55420880107971</v>
      </c>
    </row>
    <row r="68" spans="1:21" ht="14.4" x14ac:dyDescent="0.3">
      <c r="A68" s="43">
        <v>6</v>
      </c>
      <c r="B68" s="43"/>
      <c r="C68" s="1"/>
      <c r="D68" s="298">
        <v>6.8818496078623531E-2</v>
      </c>
      <c r="E68" s="298">
        <v>5.2936191485114158E-2</v>
      </c>
      <c r="F68" s="298">
        <v>7.0102641631974985E-3</v>
      </c>
      <c r="G68" s="298">
        <v>1.1862351899176933E-2</v>
      </c>
      <c r="H68" s="298">
        <v>1.9222702695116914E-3</v>
      </c>
      <c r="I68" s="298">
        <v>1.1087146410300954E-2</v>
      </c>
      <c r="J68" s="298">
        <v>6.7285132893848583E-3</v>
      </c>
      <c r="K68" s="298">
        <v>4.5194792975590103E-3</v>
      </c>
      <c r="L68" s="298">
        <v>6.0169639857389576E-3</v>
      </c>
      <c r="M68" s="298">
        <v>7.3330327729595772E-3</v>
      </c>
      <c r="N68" s="298">
        <v>4.9368015428742544E-3</v>
      </c>
      <c r="O68" s="298">
        <v>2.1005572354824645E-3</v>
      </c>
      <c r="P68" s="298">
        <v>9.2816222816082712E-3</v>
      </c>
      <c r="Q68" s="298">
        <v>3.8021989595571734E-3</v>
      </c>
      <c r="R68" s="298">
        <v>2.6949365909897677E-3</v>
      </c>
      <c r="S68" s="298">
        <v>2.6949365909897677E-3</v>
      </c>
      <c r="T68" s="298">
        <v>2.6949365909897677E-3</v>
      </c>
      <c r="U68" s="298">
        <v>2.6949365909897677E-3</v>
      </c>
    </row>
    <row r="69" spans="1:21" ht="14.4" x14ac:dyDescent="0.3">
      <c r="A69" s="43">
        <v>7</v>
      </c>
      <c r="B69" s="43"/>
      <c r="C69" s="1"/>
      <c r="D69" s="298">
        <v>85.792929223620419</v>
      </c>
      <c r="E69" s="298">
        <v>65.67536665068971</v>
      </c>
      <c r="F69" s="298">
        <v>52.471101352240538</v>
      </c>
      <c r="G69" s="298">
        <v>34.473926081721721</v>
      </c>
      <c r="H69" s="298">
        <v>20.70483242585701</v>
      </c>
      <c r="I69" s="298">
        <v>13.8859457017344</v>
      </c>
      <c r="J69" s="298">
        <v>10.407370469722119</v>
      </c>
      <c r="K69" s="298">
        <v>8.4234250472584673</v>
      </c>
      <c r="L69" s="298">
        <v>7.3447486655802345</v>
      </c>
      <c r="M69" s="298">
        <v>6.8022663683683335</v>
      </c>
      <c r="N69" s="298">
        <v>6.5166708279323533</v>
      </c>
      <c r="O69" s="298">
        <v>6.6273860488121423</v>
      </c>
      <c r="P69" s="298">
        <v>6.8022403042729351</v>
      </c>
      <c r="Q69" s="298">
        <v>6.987229811341364</v>
      </c>
      <c r="R69" s="298">
        <v>7.326010337515557</v>
      </c>
      <c r="S69" s="298">
        <v>7.326010337515557</v>
      </c>
      <c r="T69" s="298">
        <v>7.326010337515557</v>
      </c>
      <c r="U69" s="298">
        <v>7.326010337515557</v>
      </c>
    </row>
    <row r="70" spans="1:21" ht="14.4" x14ac:dyDescent="0.3">
      <c r="A70" s="43">
        <v>8</v>
      </c>
      <c r="B70" s="43"/>
      <c r="C70" s="1"/>
      <c r="D70" s="298">
        <v>0.15207091572872264</v>
      </c>
      <c r="E70" s="298">
        <v>5.2891824469196221E-2</v>
      </c>
      <c r="F70" s="298">
        <v>5.7040082585237739E-2</v>
      </c>
      <c r="G70" s="298">
        <v>1.9116049168177565E-2</v>
      </c>
      <c r="H70" s="298">
        <v>2.3564987660073828E-2</v>
      </c>
      <c r="I70" s="298">
        <v>8.5355102461392024E-3</v>
      </c>
      <c r="J70" s="298">
        <v>1.9603945043945102E-2</v>
      </c>
      <c r="K70" s="298">
        <v>1.2636657164619786E-2</v>
      </c>
      <c r="L70" s="298">
        <v>1.0643351525778579E-2</v>
      </c>
      <c r="M70" s="298">
        <v>4.3473848598230228E-3</v>
      </c>
      <c r="N70" s="298">
        <v>2.5415807506222721E-3</v>
      </c>
      <c r="O70" s="298">
        <v>1.2216655309818655E-3</v>
      </c>
      <c r="P70" s="298">
        <v>6.4595461603830819E-3</v>
      </c>
      <c r="Q70" s="298">
        <v>1.3983813924981661E-3</v>
      </c>
      <c r="R70" s="298">
        <v>3.4056178014729927E-3</v>
      </c>
      <c r="S70" s="298">
        <v>3.4056178014729927E-3</v>
      </c>
      <c r="T70" s="298">
        <v>3.4056178014729927E-3</v>
      </c>
      <c r="U70" s="298">
        <v>3.4056178014729927E-3</v>
      </c>
    </row>
    <row r="71" spans="1:21" ht="14.4" x14ac:dyDescent="0.3">
      <c r="A71" s="43">
        <v>9</v>
      </c>
      <c r="B71" s="43"/>
      <c r="C71" s="1"/>
      <c r="D71" s="298">
        <v>1.154353524821659</v>
      </c>
      <c r="E71" s="298">
        <v>3.5914593530271834</v>
      </c>
      <c r="F71" s="298">
        <v>0.66156600737101889</v>
      </c>
      <c r="G71" s="298">
        <v>0.60368769264829547</v>
      </c>
      <c r="H71" s="298">
        <v>0.42447764331950832</v>
      </c>
      <c r="I71" s="298">
        <v>1.0648962156533353</v>
      </c>
      <c r="J71" s="298">
        <v>1.5532650518305111</v>
      </c>
      <c r="K71" s="298">
        <v>0.98716445545758624</v>
      </c>
      <c r="L71" s="298">
        <v>0.68104076968532634</v>
      </c>
      <c r="M71" s="298">
        <v>0.50610374236669098</v>
      </c>
      <c r="N71" s="298">
        <v>0.31868142208094846</v>
      </c>
      <c r="O71" s="298">
        <v>0.22626624756676589</v>
      </c>
      <c r="P71" s="298">
        <v>0.1789795622711387</v>
      </c>
      <c r="Q71" s="298">
        <v>0.13966052871548112</v>
      </c>
      <c r="R71" s="298">
        <v>0.13247290047204982</v>
      </c>
      <c r="S71" s="298">
        <v>0.13247290047204982</v>
      </c>
      <c r="T71" s="298">
        <v>0.13247290047204982</v>
      </c>
      <c r="U71" s="298">
        <v>0.13247290047204982</v>
      </c>
    </row>
    <row r="72" spans="1:21" ht="14.4" x14ac:dyDescent="0.3">
      <c r="A72" s="43">
        <v>10</v>
      </c>
      <c r="B72" s="43"/>
      <c r="C72" s="1"/>
      <c r="D72" s="298">
        <v>0.2294007148283545</v>
      </c>
      <c r="E72" s="298">
        <v>4.67408371331944E-2</v>
      </c>
      <c r="F72" s="298">
        <v>3.9171017790739594E-2</v>
      </c>
      <c r="G72" s="298">
        <v>3.1896110289054799E-2</v>
      </c>
      <c r="H72" s="298">
        <v>9.7072760067846587E-3</v>
      </c>
      <c r="I72" s="298">
        <v>1.3760275349404955E-2</v>
      </c>
      <c r="J72" s="298">
        <v>1.2351163020258928E-2</v>
      </c>
      <c r="K72" s="298">
        <v>7.8770677291336265E-3</v>
      </c>
      <c r="L72" s="298">
        <v>6.6241460677741474E-3</v>
      </c>
      <c r="M72" s="298">
        <v>9.5446111698385379E-4</v>
      </c>
      <c r="N72" s="298">
        <v>5.9000829249238182E-3</v>
      </c>
      <c r="O72" s="298">
        <v>2.8410236973985879E-3</v>
      </c>
      <c r="P72" s="298">
        <v>3.0933034144878684E-3</v>
      </c>
      <c r="Q72" s="298">
        <v>1.7024651539385351E-3</v>
      </c>
      <c r="R72" s="298">
        <v>3.8405411483555876E-3</v>
      </c>
      <c r="S72" s="298">
        <v>3.8405411483555876E-3</v>
      </c>
      <c r="T72" s="298">
        <v>3.8405411483555876E-3</v>
      </c>
      <c r="U72" s="298">
        <v>3.8405411483555876E-3</v>
      </c>
    </row>
    <row r="73" spans="1:21" ht="14.4" x14ac:dyDescent="0.3">
      <c r="A73" s="43">
        <v>11</v>
      </c>
      <c r="B73" s="43"/>
      <c r="C73" s="1"/>
      <c r="D73" s="298">
        <v>69.048567707776243</v>
      </c>
      <c r="E73" s="298">
        <v>33.685348584817774</v>
      </c>
      <c r="F73" s="298">
        <v>15.583787301158949</v>
      </c>
      <c r="G73" s="298">
        <v>6.5636008603412694</v>
      </c>
      <c r="H73" s="298">
        <v>7.6797975872700235</v>
      </c>
      <c r="I73" s="298">
        <v>7.4570840283088478</v>
      </c>
      <c r="J73" s="298">
        <v>6.9055670232180777</v>
      </c>
      <c r="K73" s="298">
        <v>6.5341193000171698</v>
      </c>
      <c r="L73" s="298">
        <v>6.0786150094839924</v>
      </c>
      <c r="M73" s="298">
        <v>5.6151234987755405</v>
      </c>
      <c r="N73" s="298">
        <v>4.7731220793376856</v>
      </c>
      <c r="O73" s="298">
        <v>4.037747204995374</v>
      </c>
      <c r="P73" s="298">
        <v>3.4442053406397228</v>
      </c>
      <c r="Q73" s="298">
        <v>2.6571079286057731</v>
      </c>
      <c r="R73" s="298">
        <v>2.6319335627413896</v>
      </c>
      <c r="S73" s="298">
        <v>2.6319335627413896</v>
      </c>
      <c r="T73" s="298">
        <v>2.6319335627413896</v>
      </c>
      <c r="U73" s="298">
        <v>2.6319335627413896</v>
      </c>
    </row>
    <row r="74" spans="1:21" ht="14.4" x14ac:dyDescent="0.3">
      <c r="A74" s="43">
        <v>12</v>
      </c>
      <c r="B74" s="43"/>
      <c r="C74" s="1"/>
      <c r="D74" s="298">
        <v>4.3926126021925166E-2</v>
      </c>
      <c r="E74" s="298">
        <v>1.2877494467594758E-2</v>
      </c>
      <c r="F74" s="298">
        <v>4.5954157397374695E-3</v>
      </c>
      <c r="G74" s="298">
        <v>5.329225146697902E-3</v>
      </c>
      <c r="H74" s="298">
        <v>1.7455825337836627E-3</v>
      </c>
      <c r="I74" s="298">
        <v>6.1922252654432195E-3</v>
      </c>
      <c r="J74" s="298">
        <v>4.6340307760456886E-3</v>
      </c>
      <c r="K74" s="298">
        <v>1.2658928420938899E-3</v>
      </c>
      <c r="L74" s="298">
        <v>7.2345470714335765E-4</v>
      </c>
      <c r="M74" s="298">
        <v>2.8137542278655172E-3</v>
      </c>
      <c r="N74" s="298">
        <v>3.3387817150023614E-3</v>
      </c>
      <c r="O74" s="298">
        <v>7.0415228820549169E-4</v>
      </c>
      <c r="P74" s="298">
        <v>3.2866827675993235E-3</v>
      </c>
      <c r="Q74" s="298">
        <v>2.129932191298423E-3</v>
      </c>
      <c r="R74" s="298">
        <v>3.0726078205235829E-3</v>
      </c>
      <c r="S74" s="298">
        <v>3.0726078205235829E-3</v>
      </c>
      <c r="T74" s="298">
        <v>3.0726078205235829E-3</v>
      </c>
      <c r="U74" s="298">
        <v>3.0726078205235829E-3</v>
      </c>
    </row>
    <row r="75" spans="1:21" ht="14.4" x14ac:dyDescent="0.3">
      <c r="A75" s="43">
        <v>13</v>
      </c>
      <c r="B75" s="43"/>
      <c r="C75" s="1"/>
      <c r="D75" s="298">
        <v>57.626071680473594</v>
      </c>
      <c r="E75" s="298">
        <v>19.008833408591933</v>
      </c>
      <c r="F75" s="298">
        <v>6.0811074483745449</v>
      </c>
      <c r="G75" s="298">
        <v>6.4203508662030933</v>
      </c>
      <c r="H75" s="298">
        <v>4.053836065316168</v>
      </c>
      <c r="I75" s="298">
        <v>3.136813925533426</v>
      </c>
      <c r="J75" s="298">
        <v>3.2687886565984781</v>
      </c>
      <c r="K75" s="298">
        <v>3.1927019928471165</v>
      </c>
      <c r="L75" s="298">
        <v>3.1590323561450395</v>
      </c>
      <c r="M75" s="298">
        <v>3.1114405010378423</v>
      </c>
      <c r="N75" s="298">
        <v>2.9413990501469054</v>
      </c>
      <c r="O75" s="298">
        <v>2.6891381919916104</v>
      </c>
      <c r="P75" s="298">
        <v>2.4129113867682368</v>
      </c>
      <c r="Q75" s="298">
        <v>1.9019132140355048</v>
      </c>
      <c r="R75" s="298">
        <v>1.9731316672454773</v>
      </c>
      <c r="S75" s="298">
        <v>1.9731316672454773</v>
      </c>
      <c r="T75" s="298">
        <v>1.9731316672454773</v>
      </c>
      <c r="U75" s="298">
        <v>1.9731316672454773</v>
      </c>
    </row>
    <row r="76" spans="1:21" ht="14.4" x14ac:dyDescent="0.3">
      <c r="A76" s="43">
        <v>14</v>
      </c>
      <c r="B76" s="43"/>
      <c r="C76" s="1"/>
      <c r="D76" s="298">
        <v>0.20927403927484672</v>
      </c>
      <c r="E76" s="298">
        <v>5.5602611265487843E-2</v>
      </c>
      <c r="F76" s="298">
        <v>4.0150680983375708E-2</v>
      </c>
      <c r="G76" s="298">
        <v>1.1364022598705132E-2</v>
      </c>
      <c r="H76" s="298">
        <v>1.5808693433503308E-2</v>
      </c>
      <c r="I76" s="298">
        <v>1.1300571663228018E-2</v>
      </c>
      <c r="J76" s="298">
        <v>1.3986444352451872E-2</v>
      </c>
      <c r="K76" s="298">
        <v>1.3726550136797936E-2</v>
      </c>
      <c r="L76" s="298">
        <v>1.2922710779955417E-2</v>
      </c>
      <c r="M76" s="298">
        <v>6.7573395777536377E-3</v>
      </c>
      <c r="N76" s="298">
        <v>6.0541163970223889E-3</v>
      </c>
      <c r="O76" s="298">
        <v>8.8566143641728831E-4</v>
      </c>
      <c r="P76" s="298">
        <v>4.5856434142929501E-3</v>
      </c>
      <c r="Q76" s="298">
        <v>2.3769049086772155E-3</v>
      </c>
      <c r="R76" s="298">
        <v>2.1687917940923906E-3</v>
      </c>
      <c r="S76" s="298">
        <v>2.1687917940923906E-3</v>
      </c>
      <c r="T76" s="298">
        <v>2.1687917940923906E-3</v>
      </c>
      <c r="U76" s="298">
        <v>2.1687917940923906E-3</v>
      </c>
    </row>
    <row r="77" spans="1:21" ht="14.4" x14ac:dyDescent="0.3">
      <c r="A77" s="43">
        <v>15</v>
      </c>
      <c r="B77" s="43"/>
      <c r="C77" s="1"/>
      <c r="D77" s="298">
        <v>1.136851568371505</v>
      </c>
      <c r="E77" s="298">
        <v>0.23095610968918576</v>
      </c>
      <c r="F77" s="298">
        <v>0.45935010470309795</v>
      </c>
      <c r="G77" s="298">
        <v>0.33979479464125767</v>
      </c>
      <c r="H77" s="298">
        <v>0.19877874639876153</v>
      </c>
      <c r="I77" s="298">
        <v>0.6117370588990978</v>
      </c>
      <c r="J77" s="298">
        <v>0.7739736036483279</v>
      </c>
      <c r="K77" s="298">
        <v>0.47689818111624066</v>
      </c>
      <c r="L77" s="298">
        <v>0.32445444976062632</v>
      </c>
      <c r="M77" s="298">
        <v>0.24590737646040681</v>
      </c>
      <c r="N77" s="298">
        <v>0.17863761703347875</v>
      </c>
      <c r="O77" s="298">
        <v>0.15238590146764369</v>
      </c>
      <c r="P77" s="298">
        <v>0.13879587874692803</v>
      </c>
      <c r="Q77" s="298">
        <v>0.10849930149243135</v>
      </c>
      <c r="R77" s="298">
        <v>0.10438708261063094</v>
      </c>
      <c r="S77" s="298">
        <v>0.10438708261063094</v>
      </c>
      <c r="T77" s="298">
        <v>0.10438708261063094</v>
      </c>
      <c r="U77" s="298">
        <v>0.10438708261063094</v>
      </c>
    </row>
    <row r="78" spans="1:21" ht="14.4" x14ac:dyDescent="0.3">
      <c r="A78" s="43">
        <v>16</v>
      </c>
      <c r="B78" s="43"/>
      <c r="C78" s="1"/>
      <c r="D78" s="298">
        <v>0.21260480542905863</v>
      </c>
      <c r="E78" s="298">
        <v>5.5251059810874539E-2</v>
      </c>
      <c r="F78" s="298">
        <v>2.9549060045343564E-2</v>
      </c>
      <c r="G78" s="298">
        <v>1.9149260351853523E-2</v>
      </c>
      <c r="H78" s="298">
        <v>8.8894084206710914E-3</v>
      </c>
      <c r="I78" s="298">
        <v>9.8004503653837914E-3</v>
      </c>
      <c r="J78" s="298">
        <v>9.3355107602731344E-3</v>
      </c>
      <c r="K78" s="298">
        <v>1.1176506405604431E-2</v>
      </c>
      <c r="L78" s="298">
        <v>1.0797812516310075E-2</v>
      </c>
      <c r="M78" s="298">
        <v>4.9258459762198314E-3</v>
      </c>
      <c r="N78" s="298">
        <v>1.5412362332936629E-3</v>
      </c>
      <c r="O78" s="298">
        <v>1.7707278526791228E-3</v>
      </c>
      <c r="P78" s="298">
        <v>3.8905467511792919E-3</v>
      </c>
      <c r="Q78" s="298">
        <v>3.1270051788819786E-3</v>
      </c>
      <c r="R78" s="298">
        <v>2.7546885466757905E-3</v>
      </c>
      <c r="S78" s="298">
        <v>2.7546885466757905E-3</v>
      </c>
      <c r="T78" s="298">
        <v>2.7546885466757905E-3</v>
      </c>
      <c r="U78" s="298">
        <v>2.7546885466757905E-3</v>
      </c>
    </row>
    <row r="79" spans="1:21" ht="14.4" x14ac:dyDescent="0.3">
      <c r="A79" s="43">
        <v>17</v>
      </c>
      <c r="B79" s="43"/>
      <c r="C79" s="1"/>
      <c r="D79" s="299">
        <v>38.305868434141544</v>
      </c>
      <c r="E79" s="298">
        <v>5.2999903687276673</v>
      </c>
      <c r="F79" s="298">
        <v>6.2578007441416821</v>
      </c>
      <c r="G79" s="299">
        <v>3.651615692351549</v>
      </c>
      <c r="H79" s="299">
        <v>3.9361368606820331</v>
      </c>
      <c r="I79" s="299">
        <v>3.5365888642625669</v>
      </c>
      <c r="J79" s="298">
        <v>2.7954962272937816</v>
      </c>
      <c r="K79" s="298">
        <v>2.4617473384512585</v>
      </c>
      <c r="L79" s="298">
        <v>2.1281057585635259</v>
      </c>
      <c r="M79" s="298">
        <v>1.850567348179557</v>
      </c>
      <c r="N79" s="299">
        <v>1.5324828885585096</v>
      </c>
      <c r="O79" s="298">
        <v>1.4251739565426205</v>
      </c>
      <c r="P79" s="298">
        <v>1.4117622874341469</v>
      </c>
      <c r="Q79" s="298">
        <v>1.3485789449567889</v>
      </c>
      <c r="R79" s="298">
        <v>1.3516864824509252</v>
      </c>
      <c r="S79" s="298">
        <v>1.3516864824509252</v>
      </c>
      <c r="T79" s="298">
        <v>1.3516864824509252</v>
      </c>
      <c r="U79" s="298">
        <v>1.3516864824509252</v>
      </c>
    </row>
    <row r="80" spans="1:21" ht="14.4" x14ac:dyDescent="0.3">
      <c r="A80" s="43">
        <v>18</v>
      </c>
      <c r="B80" s="43"/>
      <c r="C80" s="1"/>
      <c r="D80" s="298">
        <v>6.8073317161051342E-3</v>
      </c>
      <c r="E80" s="298">
        <v>4.4855023970696963E-3</v>
      </c>
      <c r="F80" s="298">
        <v>3.7080452251308581E-3</v>
      </c>
      <c r="G80" s="298">
        <v>4.1891794258732719E-3</v>
      </c>
      <c r="H80" s="298">
        <v>2.5800652861531514E-3</v>
      </c>
      <c r="I80" s="298">
        <v>5.1323452366736095E-3</v>
      </c>
      <c r="J80" s="298">
        <v>3.2624660891922676E-3</v>
      </c>
      <c r="K80" s="298">
        <v>9.7248963017647263E-4</v>
      </c>
      <c r="L80" s="298">
        <v>5.3824967182370125E-4</v>
      </c>
      <c r="M80" s="298">
        <v>3.4207800467921257E-3</v>
      </c>
      <c r="N80" s="298">
        <v>2.3022193218101682E-3</v>
      </c>
      <c r="O80" s="298">
        <v>7.1766985210155283E-4</v>
      </c>
      <c r="P80" s="298">
        <v>1.6747979107749516E-3</v>
      </c>
      <c r="Q80" s="298">
        <v>1.0243399597807483E-3</v>
      </c>
      <c r="R80" s="298">
        <v>2.7645882744071495E-3</v>
      </c>
      <c r="S80" s="298">
        <v>2.7645882744071495E-3</v>
      </c>
      <c r="T80" s="298">
        <v>2.7645882744071495E-3</v>
      </c>
      <c r="U80" s="298">
        <v>2.7645882744071495E-3</v>
      </c>
    </row>
    <row r="81" spans="1:21" ht="14.4" x14ac:dyDescent="0.3">
      <c r="A81" s="43">
        <v>19</v>
      </c>
      <c r="B81" s="43"/>
      <c r="C81" s="1"/>
      <c r="D81" s="298">
        <v>28.12675018493254</v>
      </c>
      <c r="E81" s="298">
        <v>5.7694235730205383</v>
      </c>
      <c r="F81" s="298">
        <v>4.4923444139523241</v>
      </c>
      <c r="G81" s="298">
        <v>2.461818140179882</v>
      </c>
      <c r="H81" s="298">
        <v>1.5612033953483941</v>
      </c>
      <c r="I81" s="298">
        <v>1.435344927819425</v>
      </c>
      <c r="J81" s="298">
        <v>1.8152549557696753</v>
      </c>
      <c r="K81" s="298">
        <v>1.7533389509717254</v>
      </c>
      <c r="L81" s="298">
        <v>1.6441205577377018</v>
      </c>
      <c r="M81" s="298">
        <v>1.5015094716885002</v>
      </c>
      <c r="N81" s="298">
        <v>1.1978760529333901</v>
      </c>
      <c r="O81" s="298">
        <v>0.96493434637770215</v>
      </c>
      <c r="P81" s="298">
        <v>0.86230538911097832</v>
      </c>
      <c r="Q81" s="298">
        <v>0.87143134542122158</v>
      </c>
      <c r="R81" s="298">
        <v>0.89423887387252965</v>
      </c>
      <c r="S81" s="298">
        <v>0.89423887387252965</v>
      </c>
      <c r="T81" s="298">
        <v>0.89423887387252965</v>
      </c>
      <c r="U81" s="298">
        <v>0.89423887387252965</v>
      </c>
    </row>
    <row r="82" spans="1:21" ht="14.4" x14ac:dyDescent="0.3">
      <c r="A82" s="43">
        <v>20</v>
      </c>
      <c r="B82" s="43"/>
      <c r="C82" s="1"/>
      <c r="D82" s="298">
        <v>0.16228025606892954</v>
      </c>
      <c r="E82" s="298">
        <v>3.4304595434386999E-2</v>
      </c>
      <c r="F82" s="298">
        <v>3.603503131369204E-2</v>
      </c>
      <c r="G82" s="298">
        <v>1.3414457398225953E-2</v>
      </c>
      <c r="H82" s="298">
        <v>1.3820648138552563E-2</v>
      </c>
      <c r="I82" s="298">
        <v>1.2553645285502412E-2</v>
      </c>
      <c r="J82" s="298">
        <v>1.1519216055600136E-2</v>
      </c>
      <c r="K82" s="298">
        <v>1.2482583619361326E-2</v>
      </c>
      <c r="L82" s="298">
        <v>1.0659586926913772E-2</v>
      </c>
      <c r="M82" s="298">
        <v>3.9990621565117561E-3</v>
      </c>
      <c r="N82" s="298">
        <v>4.289924599988241E-3</v>
      </c>
      <c r="O82" s="298">
        <v>2.3631359410929234E-3</v>
      </c>
      <c r="P82" s="298">
        <v>2.0372139828744758E-3</v>
      </c>
      <c r="Q82" s="298">
        <v>2.6099379219788315E-3</v>
      </c>
      <c r="R82" s="298">
        <v>3.3164014470484933E-3</v>
      </c>
      <c r="S82" s="298">
        <v>3.3164014470484933E-3</v>
      </c>
      <c r="T82" s="298">
        <v>3.3164014470484933E-3</v>
      </c>
      <c r="U82" s="298">
        <v>3.3164014470484933E-3</v>
      </c>
    </row>
    <row r="83" spans="1:21" ht="14.4" x14ac:dyDescent="0.3">
      <c r="A83" s="43">
        <v>21</v>
      </c>
      <c r="B83" s="43"/>
      <c r="C83" s="1"/>
      <c r="D83" s="298">
        <v>0.62329316321319206</v>
      </c>
      <c r="E83" s="298">
        <v>0.38652912360520963</v>
      </c>
      <c r="F83" s="298">
        <v>0.28848587809075404</v>
      </c>
      <c r="G83" s="298">
        <v>0.2327624797312611</v>
      </c>
      <c r="H83" s="298">
        <v>0.12695962714013889</v>
      </c>
      <c r="I83" s="298">
        <v>0.43156831387325317</v>
      </c>
      <c r="J83" s="298">
        <v>0.51232861946084751</v>
      </c>
      <c r="K83" s="298">
        <v>0.33639919482821595</v>
      </c>
      <c r="L83" s="298">
        <v>0.24976274080004948</v>
      </c>
      <c r="M83" s="298">
        <v>0.20143664947276263</v>
      </c>
      <c r="N83" s="298">
        <v>0.14886071320433725</v>
      </c>
      <c r="O83" s="298">
        <v>0.11057082122039739</v>
      </c>
      <c r="P83" s="298">
        <v>8.69095877563483E-2</v>
      </c>
      <c r="Q83" s="298">
        <v>6.469840401868561E-2</v>
      </c>
      <c r="R83" s="298">
        <v>6.207334554446476E-2</v>
      </c>
      <c r="S83" s="298">
        <v>6.207334554446476E-2</v>
      </c>
      <c r="T83" s="298">
        <v>6.207334554446476E-2</v>
      </c>
      <c r="U83" s="298">
        <v>6.207334554446476E-2</v>
      </c>
    </row>
    <row r="84" spans="1:21" ht="14.4" x14ac:dyDescent="0.3">
      <c r="A84" s="43">
        <v>22</v>
      </c>
      <c r="B84" s="43"/>
      <c r="C84" s="1"/>
      <c r="D84" s="298">
        <v>0.10196628651957353</v>
      </c>
      <c r="E84" s="298">
        <v>3.8702088424270906E-2</v>
      </c>
      <c r="F84" s="298">
        <v>3.2940823141321553E-2</v>
      </c>
      <c r="G84" s="298">
        <v>1.4397088226243407E-2</v>
      </c>
      <c r="H84" s="298">
        <v>8.0433131135157904E-3</v>
      </c>
      <c r="I84" s="298">
        <v>9.1411482785596215E-3</v>
      </c>
      <c r="J84" s="298">
        <v>1.3328297513609087E-2</v>
      </c>
      <c r="K84" s="298">
        <v>9.9334339431091864E-3</v>
      </c>
      <c r="L84" s="298">
        <v>8.7776949548354632E-3</v>
      </c>
      <c r="M84" s="298">
        <v>2.8422690440152187E-3</v>
      </c>
      <c r="N84" s="298">
        <v>1.7693174251628295E-3</v>
      </c>
      <c r="O84" s="298">
        <v>2.3683965026528521E-3</v>
      </c>
      <c r="P84" s="298">
        <v>2.2687748359132434E-3</v>
      </c>
      <c r="Q84" s="298">
        <v>3.2956893394252857E-3</v>
      </c>
      <c r="R84" s="298">
        <v>3.1845733198832878E-3</v>
      </c>
      <c r="S84" s="298">
        <v>3.1845733198832878E-3</v>
      </c>
      <c r="T84" s="298">
        <v>3.1845733198832878E-3</v>
      </c>
      <c r="U84" s="298">
        <v>3.1845733198832878E-3</v>
      </c>
    </row>
    <row r="85" spans="1:21" ht="14.4" x14ac:dyDescent="0.3">
      <c r="A85" s="43">
        <v>23</v>
      </c>
      <c r="B85" s="43"/>
      <c r="C85" s="1"/>
      <c r="D85" s="298">
        <v>14.111336248333169</v>
      </c>
      <c r="E85" s="298">
        <v>4.5502762773923147</v>
      </c>
      <c r="F85" s="298">
        <v>2.8173069900787024</v>
      </c>
      <c r="G85" s="298">
        <v>2.0670952688936821</v>
      </c>
      <c r="H85" s="298">
        <v>2.2928087910650583</v>
      </c>
      <c r="I85" s="298">
        <v>1.9472020944612196</v>
      </c>
      <c r="J85" s="298">
        <v>1.3645089433593613</v>
      </c>
      <c r="K85" s="298">
        <v>1.1709027163413299</v>
      </c>
      <c r="L85" s="298">
        <v>1.0449622436221531</v>
      </c>
      <c r="M85" s="298">
        <v>0.98668776275695924</v>
      </c>
      <c r="N85" s="298">
        <v>0.97151910927620677</v>
      </c>
      <c r="O85" s="298">
        <v>0.91499109629030073</v>
      </c>
      <c r="P85" s="298">
        <v>0.81941237005377587</v>
      </c>
      <c r="Q85" s="298">
        <v>0.64151011524075341</v>
      </c>
      <c r="R85" s="298">
        <v>0.64347399672352978</v>
      </c>
      <c r="S85" s="298">
        <v>0.64347399672352978</v>
      </c>
      <c r="T85" s="298">
        <v>0.64347399672352978</v>
      </c>
      <c r="U85" s="298">
        <v>0.64347399672352978</v>
      </c>
    </row>
    <row r="86" spans="1:21" ht="14.4" x14ac:dyDescent="0.3">
      <c r="A86" s="43">
        <v>24</v>
      </c>
      <c r="B86" s="43"/>
      <c r="C86" s="1"/>
      <c r="D86" s="298">
        <v>3.6824454901743818E-2</v>
      </c>
      <c r="E86" s="298">
        <v>9.8382681602157043E-3</v>
      </c>
      <c r="F86" s="298">
        <v>2.4869442257516557E-3</v>
      </c>
      <c r="G86" s="298">
        <v>3.7823320015961076E-3</v>
      </c>
      <c r="H86" s="298">
        <v>3.0035667733548503E-3</v>
      </c>
      <c r="I86" s="298">
        <v>5.3235417328994826E-3</v>
      </c>
      <c r="J86" s="298">
        <v>5.8116700278296428E-3</v>
      </c>
      <c r="K86" s="298">
        <v>2.9855222275943743E-3</v>
      </c>
      <c r="L86" s="298">
        <v>2.3272957918215429E-3</v>
      </c>
      <c r="M86" s="298">
        <v>3.1075268606800422E-3</v>
      </c>
      <c r="N86" s="298">
        <v>1.6642059470906843E-3</v>
      </c>
      <c r="O86" s="298">
        <v>5.0465814106315395E-4</v>
      </c>
      <c r="P86" s="298">
        <v>2.4652728971896356E-3</v>
      </c>
      <c r="Q86" s="298">
        <v>5.6815989694872823E-4</v>
      </c>
      <c r="R86" s="298">
        <v>2.910084521893625E-3</v>
      </c>
      <c r="S86" s="298">
        <v>2.910084521893625E-3</v>
      </c>
      <c r="T86" s="298">
        <v>2.910084521893625E-3</v>
      </c>
      <c r="U86" s="298">
        <v>2.910084521893625E-3</v>
      </c>
    </row>
    <row r="87" spans="1:21" ht="14.4" x14ac:dyDescent="0.3">
      <c r="A87" s="43">
        <v>25</v>
      </c>
      <c r="B87" s="43"/>
      <c r="C87" s="1"/>
      <c r="D87" s="298">
        <v>9.1460847189836905</v>
      </c>
      <c r="E87" s="298">
        <v>3.3287755929835949</v>
      </c>
      <c r="F87" s="298">
        <v>2.4769082641614584</v>
      </c>
      <c r="G87" s="298">
        <v>1.4065816239828657</v>
      </c>
      <c r="H87" s="298">
        <v>0.9812541545579192</v>
      </c>
      <c r="I87" s="298">
        <v>0.87516515937476913</v>
      </c>
      <c r="J87" s="298">
        <v>1.0203047520164361</v>
      </c>
      <c r="K87" s="298">
        <v>0.89181945133108653</v>
      </c>
      <c r="L87" s="298">
        <v>0.77335390981045959</v>
      </c>
      <c r="M87" s="298">
        <v>0.680943962179267</v>
      </c>
      <c r="N87" s="298">
        <v>0.60410783726699213</v>
      </c>
      <c r="O87" s="298">
        <v>0.59625159344747769</v>
      </c>
      <c r="P87" s="298">
        <v>0.57911197721694829</v>
      </c>
      <c r="Q87" s="298">
        <v>0.47588131924725879</v>
      </c>
      <c r="R87" s="298">
        <v>0.48332856078705327</v>
      </c>
      <c r="S87" s="298">
        <v>0.48332856078705327</v>
      </c>
      <c r="T87" s="298">
        <v>0.48332856078705327</v>
      </c>
      <c r="U87" s="298">
        <v>0.48332856078705327</v>
      </c>
    </row>
    <row r="88" spans="1:21" ht="14.4" x14ac:dyDescent="0.3">
      <c r="A88" s="43">
        <v>26</v>
      </c>
      <c r="B88" s="43"/>
      <c r="C88" s="1"/>
      <c r="D88" s="298">
        <v>5.0821504219815294E-2</v>
      </c>
      <c r="E88" s="298">
        <v>5.5062549483802257E-2</v>
      </c>
      <c r="F88" s="298">
        <v>2.6569838221547654E-2</v>
      </c>
      <c r="G88" s="298">
        <v>1.7180710354120391E-2</v>
      </c>
      <c r="H88" s="298">
        <v>1.4413765296386657E-2</v>
      </c>
      <c r="I88" s="298">
        <v>1.340051166752103E-2</v>
      </c>
      <c r="J88" s="298">
        <v>1.2261667576280695E-2</v>
      </c>
      <c r="K88" s="298">
        <v>1.1494261330574136E-2</v>
      </c>
      <c r="L88" s="298">
        <v>1.1502164549246671E-2</v>
      </c>
      <c r="M88" s="298">
        <v>6.3586835670058186E-3</v>
      </c>
      <c r="N88" s="298">
        <v>5.7283366829020497E-3</v>
      </c>
      <c r="O88" s="298">
        <v>1.4156391535011382E-3</v>
      </c>
      <c r="P88" s="298">
        <v>2.35923526977449E-3</v>
      </c>
      <c r="Q88" s="298">
        <v>3.048115692564884E-3</v>
      </c>
      <c r="R88" s="298">
        <v>2.505817916151253E-3</v>
      </c>
      <c r="S88" s="298">
        <v>2.505817916151253E-3</v>
      </c>
      <c r="T88" s="298">
        <v>2.505817916151253E-3</v>
      </c>
      <c r="U88" s="298">
        <v>2.505817916151253E-3</v>
      </c>
    </row>
    <row r="89" spans="1:21" ht="14.4" x14ac:dyDescent="0.3">
      <c r="A89" s="43">
        <v>27</v>
      </c>
      <c r="B89" s="43"/>
      <c r="C89" s="1"/>
      <c r="D89" s="298">
        <v>0.21238680360962095</v>
      </c>
      <c r="E89" s="298">
        <v>0.25707405179893289</v>
      </c>
      <c r="F89" s="298">
        <v>0.16073741316951387</v>
      </c>
      <c r="G89" s="298">
        <v>0.17380962651022741</v>
      </c>
      <c r="H89" s="298">
        <v>9.1193806224074303E-2</v>
      </c>
      <c r="I89" s="298">
        <v>0.33088372878460953</v>
      </c>
      <c r="J89" s="298">
        <v>0.40809218499146371</v>
      </c>
      <c r="K89" s="298">
        <v>0.28326195110267732</v>
      </c>
      <c r="L89" s="298">
        <v>0.20563582476045428</v>
      </c>
      <c r="M89" s="298">
        <v>0.15760505021576746</v>
      </c>
      <c r="N89" s="298">
        <v>9.9377043514666238E-2</v>
      </c>
      <c r="O89" s="298">
        <v>7.5391622206023953E-2</v>
      </c>
      <c r="P89" s="298">
        <v>6.8011485955306775E-2</v>
      </c>
      <c r="Q89" s="298">
        <v>5.56664765461901E-2</v>
      </c>
      <c r="R89" s="298">
        <v>5.3354821022066533E-2</v>
      </c>
      <c r="S89" s="298">
        <v>5.3354821022066533E-2</v>
      </c>
      <c r="T89" s="298">
        <v>5.3354821022066533E-2</v>
      </c>
      <c r="U89" s="298">
        <v>5.3354821022066533E-2</v>
      </c>
    </row>
    <row r="90" spans="1:21" ht="14.4" x14ac:dyDescent="0.3">
      <c r="A90" s="43">
        <v>28</v>
      </c>
      <c r="B90" s="43"/>
      <c r="C90" s="1"/>
      <c r="D90" s="298">
        <v>1.9392625777396737E-2</v>
      </c>
      <c r="E90" s="298">
        <v>4.7102518518670457E-2</v>
      </c>
      <c r="F90" s="298">
        <v>2.8971418661601897E-2</v>
      </c>
      <c r="G90" s="298">
        <v>1.1872541264805246E-2</v>
      </c>
      <c r="H90" s="298">
        <v>6.9611130983163278E-3</v>
      </c>
      <c r="I90" s="298">
        <v>8.5362681900183323E-3</v>
      </c>
      <c r="J90" s="298">
        <v>1.2556658041302614E-2</v>
      </c>
      <c r="K90" s="298">
        <v>1.0537656791068419E-2</v>
      </c>
      <c r="L90" s="298">
        <v>9.2930775732190107E-3</v>
      </c>
      <c r="M90" s="298">
        <v>3.3090135809581808E-3</v>
      </c>
      <c r="N90" s="298">
        <v>8.4429509332862738E-4</v>
      </c>
      <c r="O90" s="298">
        <v>1.7536756837702497E-3</v>
      </c>
      <c r="P90" s="298">
        <v>1.2486380283558422E-3</v>
      </c>
      <c r="Q90" s="298">
        <v>3.2293207653354824E-3</v>
      </c>
      <c r="R90" s="298">
        <v>2.7333925969108054E-3</v>
      </c>
      <c r="S90" s="298">
        <v>2.7333925969108054E-3</v>
      </c>
      <c r="T90" s="298">
        <v>2.7333925969108054E-3</v>
      </c>
      <c r="U90" s="298">
        <v>2.7333925969108054E-3</v>
      </c>
    </row>
    <row r="91" spans="1:21" ht="14.4" x14ac:dyDescent="0.3">
      <c r="A91" s="43">
        <v>29</v>
      </c>
      <c r="B91" s="43"/>
      <c r="C91" s="1"/>
      <c r="D91" s="298">
        <v>6.5146861253923207</v>
      </c>
      <c r="E91" s="298">
        <v>2.6788137999966111</v>
      </c>
      <c r="F91" s="298">
        <v>1.6106667515221753</v>
      </c>
      <c r="G91" s="298">
        <v>1.3975423047728013</v>
      </c>
      <c r="H91" s="298">
        <v>1.3999934630363924</v>
      </c>
      <c r="I91" s="298">
        <v>1.0907850218496227</v>
      </c>
      <c r="J91" s="298">
        <v>0.75870567381450926</v>
      </c>
      <c r="K91" s="298">
        <v>0.75678843679568575</v>
      </c>
      <c r="L91" s="298">
        <v>0.75575983296320848</v>
      </c>
      <c r="M91" s="298">
        <v>0.72478506133268517</v>
      </c>
      <c r="N91" s="298">
        <v>0.61840577400138186</v>
      </c>
      <c r="O91" s="298">
        <v>0.50578743449988961</v>
      </c>
      <c r="P91" s="298">
        <v>0.46727025134098182</v>
      </c>
      <c r="Q91" s="298">
        <v>0.45386743782930422</v>
      </c>
      <c r="R91" s="298">
        <v>0.4514293951690499</v>
      </c>
      <c r="S91" s="298">
        <v>0.4514293951690499</v>
      </c>
      <c r="T91" s="298">
        <v>0.4514293951690499</v>
      </c>
      <c r="U91" s="298">
        <v>0.4514293951690499</v>
      </c>
    </row>
    <row r="92" spans="1:21" ht="14.4" x14ac:dyDescent="0.3">
      <c r="A92" s="43">
        <v>30</v>
      </c>
      <c r="B92" s="43"/>
      <c r="C92" s="1"/>
      <c r="D92" s="298">
        <v>3.4884370898550648E-2</v>
      </c>
      <c r="E92" s="298">
        <v>4.1765772225850796E-3</v>
      </c>
      <c r="F92" s="298">
        <v>3.1945642193693534E-3</v>
      </c>
      <c r="G92" s="298">
        <v>3.60287707209932E-3</v>
      </c>
      <c r="H92" s="298">
        <v>3.2920300374340902E-3</v>
      </c>
      <c r="I92" s="298">
        <v>5.0314868423076246E-3</v>
      </c>
      <c r="J92" s="298">
        <v>4.6053075814346854E-3</v>
      </c>
      <c r="K92" s="298">
        <v>3.6991571943863818E-3</v>
      </c>
      <c r="L92" s="298">
        <v>1.9564019833816105E-3</v>
      </c>
      <c r="M92" s="298">
        <v>2.8717553777810353E-3</v>
      </c>
      <c r="N92" s="298">
        <v>2.6821760992090326E-3</v>
      </c>
      <c r="O92" s="298">
        <v>5.3985110846739104E-4</v>
      </c>
      <c r="P92" s="298">
        <v>8.6189772740157076E-4</v>
      </c>
      <c r="Q92" s="298">
        <v>7.0587971191137216E-4</v>
      </c>
      <c r="R92" s="298">
        <v>2.5967183728580682E-3</v>
      </c>
      <c r="S92" s="298">
        <v>2.5967183728580682E-3</v>
      </c>
      <c r="T92" s="298">
        <v>2.5967183728580682E-3</v>
      </c>
      <c r="U92" s="298">
        <v>2.5967183728580682E-3</v>
      </c>
    </row>
    <row r="93" spans="1:21" ht="14.4" x14ac:dyDescent="0.3">
      <c r="A93" s="43">
        <v>31</v>
      </c>
      <c r="B93" s="43"/>
      <c r="C93" s="1"/>
      <c r="D93" s="298">
        <v>6.3339107327432735</v>
      </c>
      <c r="E93" s="298">
        <v>2.4858685050570775</v>
      </c>
      <c r="F93" s="298">
        <v>1.4322222537619056</v>
      </c>
      <c r="G93" s="298">
        <v>0.82280279165842463</v>
      </c>
      <c r="H93" s="298">
        <v>0.68512353629472578</v>
      </c>
      <c r="I93" s="298">
        <v>0.58112005814292844</v>
      </c>
      <c r="J93" s="298">
        <v>0.56772740214173922</v>
      </c>
      <c r="K93" s="298">
        <v>0.46221863452787271</v>
      </c>
      <c r="L93" s="298">
        <v>0.42486576546865334</v>
      </c>
      <c r="M93" s="298">
        <v>0.43056874893088998</v>
      </c>
      <c r="N93" s="298">
        <v>0.43268010175951643</v>
      </c>
      <c r="O93" s="298">
        <v>0.37617527613812002</v>
      </c>
      <c r="P93" s="298">
        <v>0.31678577460681751</v>
      </c>
      <c r="Q93" s="298">
        <v>0.30877008317967913</v>
      </c>
      <c r="R93" s="298">
        <v>0.3120658886678041</v>
      </c>
      <c r="S93" s="298">
        <v>0.3120658886678041</v>
      </c>
      <c r="T93" s="298">
        <v>0.3120658886678041</v>
      </c>
      <c r="U93" s="298">
        <v>0.3120658886678041</v>
      </c>
    </row>
    <row r="94" spans="1:21" ht="14.4" x14ac:dyDescent="0.3">
      <c r="A94" s="43">
        <v>32</v>
      </c>
      <c r="B94" s="43"/>
      <c r="C94" s="1"/>
      <c r="D94" s="298">
        <v>4.6506205535545839E-2</v>
      </c>
      <c r="E94" s="298">
        <v>3.3260518350729629E-2</v>
      </c>
      <c r="F94" s="298">
        <v>2.9586195514357663E-2</v>
      </c>
      <c r="G94" s="298">
        <v>1.9535797704362808E-2</v>
      </c>
      <c r="H94" s="298">
        <v>1.4563606306652922E-2</v>
      </c>
      <c r="I94" s="298">
        <v>1.305927336868163E-2</v>
      </c>
      <c r="J94" s="298">
        <v>8.8970610246392086E-3</v>
      </c>
      <c r="K94" s="298">
        <v>1.1901375104307985E-2</v>
      </c>
      <c r="L94" s="298">
        <v>1.1921658515740853E-2</v>
      </c>
      <c r="M94" s="298">
        <v>5.9187663071225798E-3</v>
      </c>
      <c r="N94" s="298">
        <v>4.587462629749072E-3</v>
      </c>
      <c r="O94" s="298">
        <v>1.2699646308248702E-3</v>
      </c>
      <c r="P94" s="298">
        <v>2.2444292602197963E-3</v>
      </c>
      <c r="Q94" s="298">
        <v>2.8384966763810126E-3</v>
      </c>
      <c r="R94" s="298">
        <v>2.9287371239286731E-3</v>
      </c>
      <c r="S94" s="298">
        <v>2.9287371239286731E-3</v>
      </c>
      <c r="T94" s="298">
        <v>2.9287371239286731E-3</v>
      </c>
      <c r="U94" s="298">
        <v>2.9287371239286731E-3</v>
      </c>
    </row>
    <row r="95" spans="1:21" ht="14.4" x14ac:dyDescent="0.3">
      <c r="A95" s="43">
        <v>33</v>
      </c>
      <c r="B95" s="43"/>
      <c r="C95" s="1"/>
      <c r="D95" s="298">
        <v>0.30274927892914244</v>
      </c>
      <c r="E95" s="298">
        <v>1.7216657169820748E-2</v>
      </c>
      <c r="F95" s="298">
        <v>0.12233571605865014</v>
      </c>
      <c r="G95" s="298">
        <v>0.13605621192601108</v>
      </c>
      <c r="H95" s="298">
        <v>7.0763148414675126E-2</v>
      </c>
      <c r="I95" s="298">
        <v>0.26563628264177047</v>
      </c>
      <c r="J95" s="298">
        <v>0.34165566585023771</v>
      </c>
      <c r="K95" s="298">
        <v>0.22742267911109676</v>
      </c>
      <c r="L95" s="298">
        <v>0.15381673439332844</v>
      </c>
      <c r="M95" s="298">
        <v>0.11558930646976719</v>
      </c>
      <c r="N95" s="298">
        <v>8.4151409301761251E-2</v>
      </c>
      <c r="O95" s="298">
        <v>6.7503639523961864E-2</v>
      </c>
      <c r="P95" s="298">
        <v>5.6413371607669127E-2</v>
      </c>
      <c r="Q95" s="298">
        <v>4.1647697018963321E-2</v>
      </c>
      <c r="R95" s="298">
        <v>3.9799798597555773E-2</v>
      </c>
      <c r="S95" s="298">
        <v>3.9799798597555773E-2</v>
      </c>
      <c r="T95" s="298">
        <v>3.9799798597555773E-2</v>
      </c>
      <c r="U95" s="298">
        <v>3.9799798597555773E-2</v>
      </c>
    </row>
    <row r="96" spans="1:21" ht="14.4" x14ac:dyDescent="0.3">
      <c r="A96" s="43">
        <v>34</v>
      </c>
      <c r="B96" s="43"/>
      <c r="C96" s="1"/>
      <c r="D96" s="298">
        <v>0.15658261184107439</v>
      </c>
      <c r="E96" s="298">
        <v>6.9206297258360139E-2</v>
      </c>
      <c r="F96" s="298">
        <v>0.11719738000471913</v>
      </c>
      <c r="G96" s="298">
        <v>9.0950515996728487E-2</v>
      </c>
      <c r="H96" s="298">
        <v>5.6069430808107633E-2</v>
      </c>
      <c r="I96" s="298">
        <v>0.18457651004529252</v>
      </c>
      <c r="J96" s="298">
        <v>0.21861320828195963</v>
      </c>
      <c r="K96" s="298">
        <v>0.14805460867942424</v>
      </c>
      <c r="L96" s="298">
        <v>0.10865726471480185</v>
      </c>
      <c r="M96" s="298">
        <v>8.7921961526698345E-2</v>
      </c>
      <c r="N96" s="298">
        <v>5.8256465500538285E-2</v>
      </c>
      <c r="O96" s="298">
        <v>4.4253058727944716E-2</v>
      </c>
      <c r="P96" s="298">
        <v>3.9509788445304235E-2</v>
      </c>
      <c r="Q96" s="298">
        <v>2.9542651780987427E-2</v>
      </c>
      <c r="R96" s="298">
        <v>2.8071591122090556E-2</v>
      </c>
      <c r="S96" s="298">
        <v>2.8071591122090556E-2</v>
      </c>
      <c r="T96" s="298">
        <v>2.8071591122090556E-2</v>
      </c>
      <c r="U96" s="298">
        <v>2.8071591122090556E-2</v>
      </c>
    </row>
    <row r="97" spans="1:21" ht="14.4" x14ac:dyDescent="0.3">
      <c r="A97" s="43">
        <v>35</v>
      </c>
      <c r="B97" s="43"/>
      <c r="C97" s="1"/>
      <c r="D97" s="298">
        <v>5.9029852258662023</v>
      </c>
      <c r="E97" s="298">
        <v>1.4733260588243429</v>
      </c>
      <c r="F97" s="298">
        <v>1.2803616292235322</v>
      </c>
      <c r="G97" s="298">
        <v>1.0290257258239199</v>
      </c>
      <c r="H97" s="298">
        <v>0.95078684693100002</v>
      </c>
      <c r="I97" s="298">
        <v>0.68755518357204037</v>
      </c>
      <c r="J97" s="298">
        <v>0.51648077967213191</v>
      </c>
      <c r="K97" s="298">
        <v>0.5658478637815777</v>
      </c>
      <c r="L97" s="298">
        <v>0.55172205299175037</v>
      </c>
      <c r="M97" s="298">
        <v>0.48796466250698262</v>
      </c>
      <c r="N97" s="298">
        <v>0.39029335703643686</v>
      </c>
      <c r="O97" s="298">
        <v>0.36343466624775511</v>
      </c>
      <c r="P97" s="298">
        <v>0.35166631128246867</v>
      </c>
      <c r="Q97" s="298">
        <v>0.28545240285608292</v>
      </c>
      <c r="R97" s="298">
        <v>0.28281840150514814</v>
      </c>
      <c r="S97" s="298">
        <v>0.28281840150514814</v>
      </c>
      <c r="T97" s="298">
        <v>0.28281840150514814</v>
      </c>
      <c r="U97" s="298">
        <v>0.28281840150514814</v>
      </c>
    </row>
    <row r="98" spans="1:21" ht="14.4" x14ac:dyDescent="0.3">
      <c r="A98" s="43">
        <v>36</v>
      </c>
      <c r="B98" s="43"/>
      <c r="C98" s="1"/>
      <c r="D98" s="298">
        <v>0.15658261184107439</v>
      </c>
      <c r="E98" s="298">
        <v>6.9206297258360139E-2</v>
      </c>
      <c r="F98" s="298">
        <v>0.11719738000471913</v>
      </c>
      <c r="G98" s="298">
        <v>9.0950515996728487E-2</v>
      </c>
      <c r="H98" s="298">
        <v>5.6069430808107633E-2</v>
      </c>
      <c r="I98" s="298">
        <v>0.18457651004529252</v>
      </c>
      <c r="J98" s="298">
        <v>0.21861320828195963</v>
      </c>
      <c r="K98" s="298">
        <v>0.14805460867942424</v>
      </c>
      <c r="L98" s="298">
        <v>0.10865726471480185</v>
      </c>
      <c r="M98" s="298">
        <v>8.7921961526698345E-2</v>
      </c>
      <c r="N98" s="298">
        <v>5.8256465500538285E-2</v>
      </c>
      <c r="O98" s="298">
        <v>4.4253058727944716E-2</v>
      </c>
      <c r="P98" s="298">
        <v>3.9509788445304235E-2</v>
      </c>
      <c r="Q98" s="298">
        <v>2.9542651780987427E-2</v>
      </c>
      <c r="R98" s="298">
        <v>2.8071591122090556E-2</v>
      </c>
      <c r="S98" s="298">
        <v>2.8071591122090556E-2</v>
      </c>
      <c r="T98" s="298">
        <v>2.8071591122090556E-2</v>
      </c>
      <c r="U98" s="298">
        <v>2.8071591122090556E-2</v>
      </c>
    </row>
    <row r="99" spans="1:21" ht="14.4" x14ac:dyDescent="0.3">
      <c r="A99" s="43">
        <v>37</v>
      </c>
      <c r="B99" s="43"/>
      <c r="C99" s="1"/>
      <c r="D99" s="298">
        <v>4.7242605294817244</v>
      </c>
      <c r="E99" s="298">
        <v>1.4147795985274163</v>
      </c>
      <c r="F99" s="298">
        <v>0.86563302172429457</v>
      </c>
      <c r="G99" s="298">
        <v>0.58792408051231626</v>
      </c>
      <c r="H99" s="298">
        <v>0.44571284137714501</v>
      </c>
      <c r="I99" s="298">
        <v>0.35071388358174704</v>
      </c>
      <c r="J99" s="298">
        <v>0.34192356461046053</v>
      </c>
      <c r="K99" s="298">
        <v>0.32136315457507253</v>
      </c>
      <c r="L99" s="298">
        <v>0.32334277343163409</v>
      </c>
      <c r="M99" s="298">
        <v>0.31458122808120276</v>
      </c>
      <c r="N99" s="298">
        <v>0.26038899134139826</v>
      </c>
      <c r="O99" s="298">
        <v>0.23293659142238254</v>
      </c>
      <c r="P99" s="298">
        <v>0.23495243567481122</v>
      </c>
      <c r="Q99" s="298">
        <v>0.1983093021126322</v>
      </c>
      <c r="R99" s="298">
        <v>0.19995839901366486</v>
      </c>
      <c r="S99" s="298">
        <v>0.19995839901366486</v>
      </c>
      <c r="T99" s="298">
        <v>0.19995839901366486</v>
      </c>
      <c r="U99" s="298">
        <v>0.19995839901366486</v>
      </c>
    </row>
    <row r="100" spans="1:21" ht="14.4" x14ac:dyDescent="0.3">
      <c r="A100" s="43">
        <v>38</v>
      </c>
      <c r="B100" s="43"/>
      <c r="C100" s="1"/>
      <c r="D100" s="298">
        <v>0.15658261184107439</v>
      </c>
      <c r="E100" s="298">
        <v>6.9206297258360139E-2</v>
      </c>
      <c r="F100" s="298">
        <v>0.11719738000471913</v>
      </c>
      <c r="G100" s="298">
        <v>9.0950515996728487E-2</v>
      </c>
      <c r="H100" s="298">
        <v>5.6069430808107633E-2</v>
      </c>
      <c r="I100" s="298">
        <v>0.18457651004529252</v>
      </c>
      <c r="J100" s="298">
        <v>0.21861320828195963</v>
      </c>
      <c r="K100" s="298">
        <v>0.14805460867942424</v>
      </c>
      <c r="L100" s="298">
        <v>0.10865726471480185</v>
      </c>
      <c r="M100" s="298">
        <v>8.7921961526698345E-2</v>
      </c>
      <c r="N100" s="298">
        <v>5.8256465500538285E-2</v>
      </c>
      <c r="O100" s="298">
        <v>4.4253058727944716E-2</v>
      </c>
      <c r="P100" s="298">
        <v>3.9509788445304235E-2</v>
      </c>
      <c r="Q100" s="298">
        <v>2.9542651780987427E-2</v>
      </c>
      <c r="R100" s="298">
        <v>2.8071591122090556E-2</v>
      </c>
      <c r="S100" s="298">
        <v>2.8071591122090556E-2</v>
      </c>
      <c r="T100" s="298">
        <v>2.8071591122090556E-2</v>
      </c>
      <c r="U100" s="298">
        <v>2.8071591122090556E-2</v>
      </c>
    </row>
    <row r="101" spans="1:21" ht="14.4" x14ac:dyDescent="0.3">
      <c r="A101" s="43">
        <v>39</v>
      </c>
      <c r="B101" s="43"/>
      <c r="C101" s="1"/>
      <c r="D101" s="298">
        <v>0.2079850899943797</v>
      </c>
      <c r="E101" s="298">
        <v>0.13041647508011303</v>
      </c>
      <c r="F101" s="298">
        <v>0.12947509110634475</v>
      </c>
      <c r="G101" s="298">
        <v>0.11009404781577684</v>
      </c>
      <c r="H101" s="298">
        <v>6.014929527512837E-2</v>
      </c>
      <c r="I101" s="298">
        <v>0.21949671273146126</v>
      </c>
      <c r="J101" s="298">
        <v>0.27640701454444089</v>
      </c>
      <c r="K101" s="298">
        <v>0.17818419975534588</v>
      </c>
      <c r="L101" s="298">
        <v>0.12256174642203793</v>
      </c>
      <c r="M101" s="298">
        <v>9.8387203409769475E-2</v>
      </c>
      <c r="N101" s="298">
        <v>7.1958024598108364E-2</v>
      </c>
      <c r="O101" s="298">
        <v>5.1366620792552581E-2</v>
      </c>
      <c r="P101" s="298">
        <v>4.2850088405828553E-2</v>
      </c>
      <c r="Q101" s="298">
        <v>3.5922322150466021E-2</v>
      </c>
      <c r="R101" s="298">
        <v>3.4556391879303032E-2</v>
      </c>
      <c r="S101" s="298">
        <v>3.4556391879303032E-2</v>
      </c>
      <c r="T101" s="298">
        <v>3.4556391879303032E-2</v>
      </c>
      <c r="U101" s="298">
        <v>3.4556391879303032E-2</v>
      </c>
    </row>
    <row r="102" spans="1:21" ht="14.4" x14ac:dyDescent="0.3">
      <c r="A102" s="43">
        <v>40</v>
      </c>
      <c r="B102" s="43"/>
      <c r="C102" s="1"/>
      <c r="D102" s="298">
        <v>0.15658261184107439</v>
      </c>
      <c r="E102" s="298">
        <v>6.9206297258360139E-2</v>
      </c>
      <c r="F102" s="298">
        <v>0.11719738000471913</v>
      </c>
      <c r="G102" s="298">
        <v>9.0950515996728487E-2</v>
      </c>
      <c r="H102" s="298">
        <v>5.6069430808107633E-2</v>
      </c>
      <c r="I102" s="298">
        <v>0.18457651004529252</v>
      </c>
      <c r="J102" s="298">
        <v>0.21861320828195963</v>
      </c>
      <c r="K102" s="298">
        <v>0.14805460867942424</v>
      </c>
      <c r="L102" s="298">
        <v>0.10865726471480185</v>
      </c>
      <c r="M102" s="298">
        <v>8.7921961526698345E-2</v>
      </c>
      <c r="N102" s="298">
        <v>5.8256465500538285E-2</v>
      </c>
      <c r="O102" s="298">
        <v>4.4253058727944716E-2</v>
      </c>
      <c r="P102" s="298">
        <v>3.9509788445304235E-2</v>
      </c>
      <c r="Q102" s="298">
        <v>2.9542651780987427E-2</v>
      </c>
      <c r="R102" s="298">
        <v>2.8071591122090556E-2</v>
      </c>
      <c r="S102" s="298">
        <v>2.8071591122090556E-2</v>
      </c>
      <c r="T102" s="298">
        <v>2.8071591122090556E-2</v>
      </c>
      <c r="U102" s="298">
        <v>2.8071591122090556E-2</v>
      </c>
    </row>
    <row r="103" spans="1:21" ht="14.4" x14ac:dyDescent="0.3">
      <c r="A103" s="43">
        <v>41</v>
      </c>
      <c r="B103" s="43"/>
      <c r="C103" s="1"/>
      <c r="D103" s="298">
        <v>2.9593523720748518</v>
      </c>
      <c r="E103" s="298">
        <v>1.3960448536050045</v>
      </c>
      <c r="F103" s="298">
        <v>0.9788469484846104</v>
      </c>
      <c r="G103" s="298">
        <v>0.76626902234982497</v>
      </c>
      <c r="H103" s="298">
        <v>0.64986432358583057</v>
      </c>
      <c r="I103" s="298">
        <v>0.49479101470748305</v>
      </c>
      <c r="J103" s="298">
        <v>0.39951328972932304</v>
      </c>
      <c r="K103" s="298">
        <v>0.41594580564321404</v>
      </c>
      <c r="L103" s="298">
        <v>0.37579029347140652</v>
      </c>
      <c r="M103" s="298">
        <v>0.32440122806902955</v>
      </c>
      <c r="N103" s="298">
        <v>0.30529874652047795</v>
      </c>
      <c r="O103" s="298">
        <v>0.272856325769609</v>
      </c>
      <c r="P103" s="298">
        <v>0.23528249165808171</v>
      </c>
      <c r="Q103" s="298">
        <v>0.21930268062364178</v>
      </c>
      <c r="R103" s="298">
        <v>0.21942223358685053</v>
      </c>
      <c r="S103" s="298">
        <v>0.21942223358685053</v>
      </c>
      <c r="T103" s="298">
        <v>0.21942223358685053</v>
      </c>
      <c r="U103" s="298">
        <v>0.21942223358685053</v>
      </c>
    </row>
    <row r="104" spans="1:21" ht="14.4" x14ac:dyDescent="0.3">
      <c r="A104" s="43">
        <v>42</v>
      </c>
      <c r="B104" s="43"/>
      <c r="C104" s="1"/>
      <c r="D104" s="298">
        <v>0.15658261184107439</v>
      </c>
      <c r="E104" s="298">
        <v>6.9206297258360139E-2</v>
      </c>
      <c r="F104" s="298">
        <v>0.11719738000471913</v>
      </c>
      <c r="G104" s="298">
        <v>9.0950515996728487E-2</v>
      </c>
      <c r="H104" s="298">
        <v>5.6069430808107633E-2</v>
      </c>
      <c r="I104" s="298">
        <v>0.18457651004529252</v>
      </c>
      <c r="J104" s="298">
        <v>0.21861320828195963</v>
      </c>
      <c r="K104" s="298">
        <v>0.14805460867942424</v>
      </c>
      <c r="L104" s="298">
        <v>0.10865726471480185</v>
      </c>
      <c r="M104" s="298">
        <v>8.7921961526698345E-2</v>
      </c>
      <c r="N104" s="298">
        <v>5.8256465500538285E-2</v>
      </c>
      <c r="O104" s="298">
        <v>4.4253058727944716E-2</v>
      </c>
      <c r="P104" s="298">
        <v>3.9509788445304235E-2</v>
      </c>
      <c r="Q104" s="298">
        <v>2.9542651780987427E-2</v>
      </c>
      <c r="R104" s="298">
        <v>2.8071591122090556E-2</v>
      </c>
      <c r="S104" s="298">
        <v>2.8071591122090556E-2</v>
      </c>
      <c r="T104" s="298">
        <v>2.8071591122090556E-2</v>
      </c>
      <c r="U104" s="298">
        <v>2.8071591122090556E-2</v>
      </c>
    </row>
    <row r="105" spans="1:21" ht="14.4" x14ac:dyDescent="0.3">
      <c r="A105" s="43">
        <v>43</v>
      </c>
      <c r="B105" s="43"/>
      <c r="C105" s="1"/>
      <c r="D105" s="298">
        <v>2.2178560512821952</v>
      </c>
      <c r="E105" s="298">
        <v>1.1905972320783262</v>
      </c>
      <c r="F105" s="298">
        <v>0.75615175660327605</v>
      </c>
      <c r="G105" s="298">
        <v>0.45362551647456517</v>
      </c>
      <c r="H105" s="298">
        <v>0.28528173727691464</v>
      </c>
      <c r="I105" s="298">
        <v>0.21779752656057286</v>
      </c>
      <c r="J105" s="298">
        <v>0.25538951981730396</v>
      </c>
      <c r="K105" s="298">
        <v>0.24818871965708805</v>
      </c>
      <c r="L105" s="298">
        <v>0.22308863199724832</v>
      </c>
      <c r="M105" s="298">
        <v>0.19779080449305989</v>
      </c>
      <c r="N105" s="298">
        <v>0.1877023014843526</v>
      </c>
      <c r="O105" s="298">
        <v>0.18024721970812474</v>
      </c>
      <c r="P105" s="298">
        <v>0.14969356494618877</v>
      </c>
      <c r="Q105" s="298">
        <v>0.15402172112964774</v>
      </c>
      <c r="R105" s="298">
        <v>0.14788153997371078</v>
      </c>
      <c r="S105" s="298">
        <v>0.14788153997371078</v>
      </c>
      <c r="T105" s="298">
        <v>0.14788153997371078</v>
      </c>
      <c r="U105" s="298">
        <v>0.14788153997371078</v>
      </c>
    </row>
    <row r="106" spans="1:21" ht="14.4" x14ac:dyDescent="0.3">
      <c r="A106" s="43">
        <v>44</v>
      </c>
      <c r="B106" s="43"/>
      <c r="C106" s="1"/>
      <c r="D106" s="298">
        <v>0.15658261184107439</v>
      </c>
      <c r="E106" s="298">
        <v>6.9206297258360139E-2</v>
      </c>
      <c r="F106" s="298">
        <v>0.11719738000471913</v>
      </c>
      <c r="G106" s="298">
        <v>9.0950515996728487E-2</v>
      </c>
      <c r="H106" s="298">
        <v>5.6069430808107633E-2</v>
      </c>
      <c r="I106" s="298">
        <v>0.18457651004529252</v>
      </c>
      <c r="J106" s="298">
        <v>0.21861320828195963</v>
      </c>
      <c r="K106" s="298">
        <v>0.14805460867942424</v>
      </c>
      <c r="L106" s="298">
        <v>0.10865726471480185</v>
      </c>
      <c r="M106" s="298">
        <v>8.7921961526698345E-2</v>
      </c>
      <c r="N106" s="298">
        <v>5.8256465500538285E-2</v>
      </c>
      <c r="O106" s="298">
        <v>4.4253058727944716E-2</v>
      </c>
      <c r="P106" s="298">
        <v>3.9509788445304235E-2</v>
      </c>
      <c r="Q106" s="298">
        <v>2.9542651780987427E-2</v>
      </c>
      <c r="R106" s="298">
        <v>2.8071591122090556E-2</v>
      </c>
      <c r="S106" s="298">
        <v>2.8071591122090556E-2</v>
      </c>
      <c r="T106" s="298">
        <v>2.8071591122090556E-2</v>
      </c>
      <c r="U106" s="298">
        <v>2.8071591122090556E-2</v>
      </c>
    </row>
    <row r="107" spans="1:21" ht="14.4" x14ac:dyDescent="0.3">
      <c r="A107" s="43">
        <v>45</v>
      </c>
      <c r="B107" s="43"/>
      <c r="C107" s="1"/>
      <c r="D107" s="298">
        <v>0.15674381381219379</v>
      </c>
      <c r="E107" s="298">
        <v>6.9135515452953725E-2</v>
      </c>
      <c r="F107" s="298">
        <v>0.11721931861181524</v>
      </c>
      <c r="G107" s="298">
        <v>9.0976276916425139E-2</v>
      </c>
      <c r="H107" s="298">
        <v>5.5974795488511517E-2</v>
      </c>
      <c r="I107" s="298">
        <v>0.18455139999068912</v>
      </c>
      <c r="J107" s="298">
        <v>0.21866515563030009</v>
      </c>
      <c r="K107" s="298">
        <v>0.14808361462956454</v>
      </c>
      <c r="L107" s="298">
        <v>0.10867252849450271</v>
      </c>
      <c r="M107" s="298">
        <v>8.7932880027034033E-2</v>
      </c>
      <c r="N107" s="298">
        <v>5.8261619608528936E-2</v>
      </c>
      <c r="O107" s="298">
        <v>4.4254803859095013E-2</v>
      </c>
      <c r="P107" s="298">
        <v>3.9511622355493263E-2</v>
      </c>
      <c r="Q107" s="298">
        <v>2.9543012509050892E-2</v>
      </c>
      <c r="R107" s="298">
        <v>2.8071590865564936E-2</v>
      </c>
      <c r="S107" s="298">
        <v>2.8071590865564936E-2</v>
      </c>
      <c r="T107" s="298">
        <v>2.8071590865564936E-2</v>
      </c>
      <c r="U107" s="298">
        <v>2.8071590865564936E-2</v>
      </c>
    </row>
    <row r="108" spans="1:21" ht="14.4" x14ac:dyDescent="0.3">
      <c r="A108" s="43">
        <v>46</v>
      </c>
      <c r="B108" s="43"/>
      <c r="C108" s="1"/>
      <c r="D108" s="298">
        <v>0.15658261184107439</v>
      </c>
      <c r="E108" s="298">
        <v>6.9206297258360139E-2</v>
      </c>
      <c r="F108" s="298">
        <v>0.11719738000471913</v>
      </c>
      <c r="G108" s="298">
        <v>9.0950515996728487E-2</v>
      </c>
      <c r="H108" s="298">
        <v>5.6069430808107633E-2</v>
      </c>
      <c r="I108" s="298">
        <v>0.18457651004529252</v>
      </c>
      <c r="J108" s="298">
        <v>0.21861320828195963</v>
      </c>
      <c r="K108" s="298">
        <v>0.14805460867942424</v>
      </c>
      <c r="L108" s="298">
        <v>0.10865726471480185</v>
      </c>
      <c r="M108" s="298">
        <v>8.7921961526698345E-2</v>
      </c>
      <c r="N108" s="298">
        <v>5.8256465500538285E-2</v>
      </c>
      <c r="O108" s="298">
        <v>4.4253058727944716E-2</v>
      </c>
      <c r="P108" s="298">
        <v>3.9509788445304235E-2</v>
      </c>
      <c r="Q108" s="298">
        <v>2.9542651780987427E-2</v>
      </c>
      <c r="R108" s="298">
        <v>2.8071591122090556E-2</v>
      </c>
      <c r="S108" s="298">
        <v>2.8071591122090556E-2</v>
      </c>
      <c r="T108" s="298">
        <v>2.8071591122090556E-2</v>
      </c>
      <c r="U108" s="298">
        <v>2.8071591122090556E-2</v>
      </c>
    </row>
    <row r="109" spans="1:21" ht="14.4" x14ac:dyDescent="0.3">
      <c r="A109" s="43">
        <v>47</v>
      </c>
      <c r="B109" s="43"/>
      <c r="C109" s="1"/>
      <c r="D109" s="298">
        <v>2.3268630691236321</v>
      </c>
      <c r="E109" s="298">
        <v>0.78641478977548207</v>
      </c>
      <c r="F109" s="298">
        <v>0.65683719239534155</v>
      </c>
      <c r="G109" s="298">
        <v>0.58143321676267457</v>
      </c>
      <c r="H109" s="298">
        <v>0.44928960665019158</v>
      </c>
      <c r="I109" s="298">
        <v>0.41294151992551731</v>
      </c>
      <c r="J109" s="298">
        <v>0.2940568330031525</v>
      </c>
      <c r="K109" s="298">
        <v>0.2786885915405366</v>
      </c>
      <c r="L109" s="298">
        <v>0.26697263616116279</v>
      </c>
      <c r="M109" s="298">
        <v>0.26064585390490097</v>
      </c>
      <c r="N109" s="298">
        <v>0.2367936036530196</v>
      </c>
      <c r="O109" s="298">
        <v>0.19038468562778788</v>
      </c>
      <c r="P109" s="298">
        <v>0.18456070692514012</v>
      </c>
      <c r="Q109" s="298">
        <v>0.16108516476637483</v>
      </c>
      <c r="R109" s="298">
        <v>0.15522073313539117</v>
      </c>
      <c r="S109" s="298">
        <v>0.15522073313539117</v>
      </c>
      <c r="T109" s="298">
        <v>0.15522073313539117</v>
      </c>
      <c r="U109" s="298">
        <v>0.15522073313539117</v>
      </c>
    </row>
    <row r="110" spans="1:21" ht="14.4" x14ac:dyDescent="0.3">
      <c r="A110" s="43">
        <v>48</v>
      </c>
      <c r="B110" s="43"/>
      <c r="C110" s="1"/>
      <c r="D110" s="298">
        <v>0.15658261184107439</v>
      </c>
      <c r="E110" s="298">
        <v>6.9206297258360139E-2</v>
      </c>
      <c r="F110" s="298">
        <v>0.11719738000471913</v>
      </c>
      <c r="G110" s="298">
        <v>9.0950515996728487E-2</v>
      </c>
      <c r="H110" s="298">
        <v>5.6069430808107633E-2</v>
      </c>
      <c r="I110" s="298">
        <v>0.18457651004529252</v>
      </c>
      <c r="J110" s="298">
        <v>0.21861320828195963</v>
      </c>
      <c r="K110" s="298">
        <v>0.14805460867942424</v>
      </c>
      <c r="L110" s="298">
        <v>0.10865726471480185</v>
      </c>
      <c r="M110" s="298">
        <v>8.7921961526698345E-2</v>
      </c>
      <c r="N110" s="298">
        <v>5.8256465500538285E-2</v>
      </c>
      <c r="O110" s="298">
        <v>4.4253058727944716E-2</v>
      </c>
      <c r="P110" s="298">
        <v>3.9509788445304235E-2</v>
      </c>
      <c r="Q110" s="298">
        <v>2.9542651780987427E-2</v>
      </c>
      <c r="R110" s="298">
        <v>2.8071591122090556E-2</v>
      </c>
      <c r="S110" s="298">
        <v>2.8071591122090556E-2</v>
      </c>
      <c r="T110" s="298">
        <v>2.8071591122090556E-2</v>
      </c>
      <c r="U110" s="298">
        <v>2.8071591122090556E-2</v>
      </c>
    </row>
    <row r="111" spans="1:21" ht="14.4" x14ac:dyDescent="0.3">
      <c r="A111" s="43">
        <v>49</v>
      </c>
      <c r="B111" s="43"/>
      <c r="C111" s="1"/>
      <c r="D111" s="298">
        <v>2.222090686942058</v>
      </c>
      <c r="E111" s="298">
        <v>0.8231320290067401</v>
      </c>
      <c r="F111" s="298">
        <v>0.54372728367538525</v>
      </c>
      <c r="G111" s="298">
        <v>0.33388586731319231</v>
      </c>
      <c r="H111" s="298">
        <v>0.20472977887589594</v>
      </c>
      <c r="I111" s="298">
        <v>0.16067909526322774</v>
      </c>
      <c r="J111" s="298">
        <v>0.19635848943192444</v>
      </c>
      <c r="K111" s="298">
        <v>0.18022284651166184</v>
      </c>
      <c r="L111" s="298">
        <v>0.15241194609444156</v>
      </c>
      <c r="M111" s="298">
        <v>0.14568078669873447</v>
      </c>
      <c r="N111" s="298">
        <v>0.14316623416465049</v>
      </c>
      <c r="O111" s="298">
        <v>0.11820986355275069</v>
      </c>
      <c r="P111" s="298">
        <v>0.11324661442841535</v>
      </c>
      <c r="Q111" s="298">
        <v>0.10591950094820782</v>
      </c>
      <c r="R111" s="298">
        <v>0.10181373046970461</v>
      </c>
      <c r="S111" s="298">
        <v>0.10181373046970461</v>
      </c>
      <c r="T111" s="298">
        <v>0.10181373046970461</v>
      </c>
      <c r="U111" s="298">
        <v>0.10181373046970461</v>
      </c>
    </row>
    <row r="112" spans="1:21" ht="14.4" x14ac:dyDescent="0.3">
      <c r="A112" s="43">
        <v>50</v>
      </c>
      <c r="B112" s="43"/>
      <c r="C112" s="1"/>
      <c r="D112" s="298">
        <v>0.15658261184107439</v>
      </c>
      <c r="E112" s="298">
        <v>6.9206297258360139E-2</v>
      </c>
      <c r="F112" s="298">
        <v>0.11719738000471913</v>
      </c>
      <c r="G112" s="298">
        <v>9.0950515996728487E-2</v>
      </c>
      <c r="H112" s="298">
        <v>5.6069430808107633E-2</v>
      </c>
      <c r="I112" s="298">
        <v>0.18457651004529252</v>
      </c>
      <c r="J112" s="298">
        <v>0.21861320828195963</v>
      </c>
      <c r="K112" s="298">
        <v>0.14805460867942424</v>
      </c>
      <c r="L112" s="298">
        <v>0.10865726471480185</v>
      </c>
      <c r="M112" s="298">
        <v>8.7921961526698345E-2</v>
      </c>
      <c r="N112" s="298">
        <v>5.8256465500538285E-2</v>
      </c>
      <c r="O112" s="298">
        <v>4.4253058727944716E-2</v>
      </c>
      <c r="P112" s="298">
        <v>3.9509788445304235E-2</v>
      </c>
      <c r="Q112" s="298">
        <v>2.9542651780987427E-2</v>
      </c>
      <c r="R112" s="298">
        <v>2.8071591122090556E-2</v>
      </c>
      <c r="S112" s="298">
        <v>2.8071591122090556E-2</v>
      </c>
      <c r="T112" s="298">
        <v>2.8071591122090556E-2</v>
      </c>
      <c r="U112" s="298">
        <v>2.8071591122090556E-2</v>
      </c>
    </row>
    <row r="113" spans="2:21" x14ac:dyDescent="0.25">
      <c r="D113" s="51"/>
    </row>
    <row r="114" spans="2:21" x14ac:dyDescent="0.25">
      <c r="B114" s="26" t="s">
        <v>5</v>
      </c>
      <c r="D114" s="32">
        <f t="shared" ref="D114:U114" si="7">SQRT(SUMSQ(D64:D112))</f>
        <v>163.93774717643851</v>
      </c>
      <c r="E114" s="32">
        <f t="shared" si="7"/>
        <v>113.48802501155089</v>
      </c>
      <c r="F114" s="32">
        <f t="shared" si="7"/>
        <v>92.201479834948017</v>
      </c>
      <c r="G114" s="32">
        <f t="shared" si="7"/>
        <v>70.914070764570482</v>
      </c>
      <c r="H114" s="32">
        <f t="shared" si="7"/>
        <v>54.750054571794223</v>
      </c>
      <c r="I114" s="32">
        <f t="shared" si="7"/>
        <v>45.409107972180678</v>
      </c>
      <c r="J114" s="32">
        <f t="shared" si="7"/>
        <v>40.452846599409661</v>
      </c>
      <c r="K114" s="32">
        <f t="shared" si="7"/>
        <v>36.567604373048553</v>
      </c>
      <c r="L114" s="32">
        <f t="shared" si="7"/>
        <v>33.722497172696237</v>
      </c>
      <c r="M114" s="32">
        <f t="shared" si="7"/>
        <v>31.537820676686238</v>
      </c>
      <c r="N114" s="32">
        <f t="shared" si="7"/>
        <v>28.353599859458789</v>
      </c>
      <c r="O114" s="32">
        <f t="shared" si="7"/>
        <v>26.003967172553079</v>
      </c>
      <c r="P114" s="32">
        <f t="shared" si="7"/>
        <v>24.160245237926446</v>
      </c>
      <c r="Q114" s="32">
        <f t="shared" si="7"/>
        <v>21.249690073067327</v>
      </c>
      <c r="R114" s="32">
        <f t="shared" si="7"/>
        <v>21.247242746791578</v>
      </c>
      <c r="S114" s="32">
        <f t="shared" si="7"/>
        <v>21.247242746791578</v>
      </c>
      <c r="T114" s="32">
        <f t="shared" si="7"/>
        <v>21.247242746791578</v>
      </c>
      <c r="U114" s="32">
        <f t="shared" si="7"/>
        <v>21.247242746791578</v>
      </c>
    </row>
    <row r="116" spans="2:21" x14ac:dyDescent="0.25">
      <c r="D116" s="32"/>
      <c r="E116" s="32"/>
      <c r="F116" s="32"/>
      <c r="G116" s="32"/>
      <c r="H116" s="32"/>
      <c r="I116" s="32"/>
    </row>
    <row r="118" spans="2:21" x14ac:dyDescent="0.25">
      <c r="D118" s="32"/>
      <c r="E118" s="32"/>
      <c r="F118" s="32"/>
      <c r="G118" s="32"/>
      <c r="H118" s="32"/>
      <c r="I118" s="32"/>
    </row>
  </sheetData>
  <pageMargins left="0.75" right="0.75" top="1" bottom="1" header="0.5" footer="0.5"/>
  <pageSetup scale="86" fitToWidth="2" fitToHeight="2" orientation="portrait" r:id="rId1"/>
  <headerFooter alignWithMargins="0">
    <oddHeader>&amp;R&amp;D
&amp;T
rh</oddHeader>
    <oddFooter>&amp;L&amp;F
&amp;A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U118"/>
  <sheetViews>
    <sheetView workbookViewId="0">
      <selection activeCell="H4" sqref="H4:H53"/>
    </sheetView>
  </sheetViews>
  <sheetFormatPr defaultRowHeight="13.2" x14ac:dyDescent="0.25"/>
  <cols>
    <col min="1" max="6" width="9.109375" style="26"/>
    <col min="7" max="7" width="9.109375" style="26" customWidth="1"/>
    <col min="8" max="8" width="10.6640625" style="26" customWidth="1"/>
    <col min="9" max="262" width="9.109375" style="26"/>
    <col min="263" max="263" width="9.5546875" style="26" bestFit="1" customWidth="1"/>
    <col min="264" max="264" width="10.6640625" style="26" customWidth="1"/>
    <col min="265" max="518" width="9.109375" style="26"/>
    <col min="519" max="519" width="9.5546875" style="26" bestFit="1" customWidth="1"/>
    <col min="520" max="520" width="10.6640625" style="26" customWidth="1"/>
    <col min="521" max="774" width="9.109375" style="26"/>
    <col min="775" max="775" width="9.5546875" style="26" bestFit="1" customWidth="1"/>
    <col min="776" max="776" width="10.6640625" style="26" customWidth="1"/>
    <col min="777" max="1030" width="9.109375" style="26"/>
    <col min="1031" max="1031" width="9.5546875" style="26" bestFit="1" customWidth="1"/>
    <col min="1032" max="1032" width="10.6640625" style="26" customWidth="1"/>
    <col min="1033" max="1286" width="9.109375" style="26"/>
    <col min="1287" max="1287" width="9.5546875" style="26" bestFit="1" customWidth="1"/>
    <col min="1288" max="1288" width="10.6640625" style="26" customWidth="1"/>
    <col min="1289" max="1542" width="9.109375" style="26"/>
    <col min="1543" max="1543" width="9.5546875" style="26" bestFit="1" customWidth="1"/>
    <col min="1544" max="1544" width="10.6640625" style="26" customWidth="1"/>
    <col min="1545" max="1798" width="9.109375" style="26"/>
    <col min="1799" max="1799" width="9.5546875" style="26" bestFit="1" customWidth="1"/>
    <col min="1800" max="1800" width="10.6640625" style="26" customWidth="1"/>
    <col min="1801" max="2054" width="9.109375" style="26"/>
    <col min="2055" max="2055" width="9.5546875" style="26" bestFit="1" customWidth="1"/>
    <col min="2056" max="2056" width="10.6640625" style="26" customWidth="1"/>
    <col min="2057" max="2310" width="9.109375" style="26"/>
    <col min="2311" max="2311" width="9.5546875" style="26" bestFit="1" customWidth="1"/>
    <col min="2312" max="2312" width="10.6640625" style="26" customWidth="1"/>
    <col min="2313" max="2566" width="9.109375" style="26"/>
    <col min="2567" max="2567" width="9.5546875" style="26" bestFit="1" customWidth="1"/>
    <col min="2568" max="2568" width="10.6640625" style="26" customWidth="1"/>
    <col min="2569" max="2822" width="9.109375" style="26"/>
    <col min="2823" max="2823" width="9.5546875" style="26" bestFit="1" customWidth="1"/>
    <col min="2824" max="2824" width="10.6640625" style="26" customWidth="1"/>
    <col min="2825" max="3078" width="9.109375" style="26"/>
    <col min="3079" max="3079" width="9.5546875" style="26" bestFit="1" customWidth="1"/>
    <col min="3080" max="3080" width="10.6640625" style="26" customWidth="1"/>
    <col min="3081" max="3334" width="9.109375" style="26"/>
    <col min="3335" max="3335" width="9.5546875" style="26" bestFit="1" customWidth="1"/>
    <col min="3336" max="3336" width="10.6640625" style="26" customWidth="1"/>
    <col min="3337" max="3590" width="9.109375" style="26"/>
    <col min="3591" max="3591" width="9.5546875" style="26" bestFit="1" customWidth="1"/>
    <col min="3592" max="3592" width="10.6640625" style="26" customWidth="1"/>
    <col min="3593" max="3846" width="9.109375" style="26"/>
    <col min="3847" max="3847" width="9.5546875" style="26" bestFit="1" customWidth="1"/>
    <col min="3848" max="3848" width="10.6640625" style="26" customWidth="1"/>
    <col min="3849" max="4102" width="9.109375" style="26"/>
    <col min="4103" max="4103" width="9.5546875" style="26" bestFit="1" customWidth="1"/>
    <col min="4104" max="4104" width="10.6640625" style="26" customWidth="1"/>
    <col min="4105" max="4358" width="9.109375" style="26"/>
    <col min="4359" max="4359" width="9.5546875" style="26" bestFit="1" customWidth="1"/>
    <col min="4360" max="4360" width="10.6640625" style="26" customWidth="1"/>
    <col min="4361" max="4614" width="9.109375" style="26"/>
    <col min="4615" max="4615" width="9.5546875" style="26" bestFit="1" customWidth="1"/>
    <col min="4616" max="4616" width="10.6640625" style="26" customWidth="1"/>
    <col min="4617" max="4870" width="9.109375" style="26"/>
    <col min="4871" max="4871" width="9.5546875" style="26" bestFit="1" customWidth="1"/>
    <col min="4872" max="4872" width="10.6640625" style="26" customWidth="1"/>
    <col min="4873" max="5126" width="9.109375" style="26"/>
    <col min="5127" max="5127" width="9.5546875" style="26" bestFit="1" customWidth="1"/>
    <col min="5128" max="5128" width="10.6640625" style="26" customWidth="1"/>
    <col min="5129" max="5382" width="9.109375" style="26"/>
    <col min="5383" max="5383" width="9.5546875" style="26" bestFit="1" customWidth="1"/>
    <col min="5384" max="5384" width="10.6640625" style="26" customWidth="1"/>
    <col min="5385" max="5638" width="9.109375" style="26"/>
    <col min="5639" max="5639" width="9.5546875" style="26" bestFit="1" customWidth="1"/>
    <col min="5640" max="5640" width="10.6640625" style="26" customWidth="1"/>
    <col min="5641" max="5894" width="9.109375" style="26"/>
    <col min="5895" max="5895" width="9.5546875" style="26" bestFit="1" customWidth="1"/>
    <col min="5896" max="5896" width="10.6640625" style="26" customWidth="1"/>
    <col min="5897" max="6150" width="9.109375" style="26"/>
    <col min="6151" max="6151" width="9.5546875" style="26" bestFit="1" customWidth="1"/>
    <col min="6152" max="6152" width="10.6640625" style="26" customWidth="1"/>
    <col min="6153" max="6406" width="9.109375" style="26"/>
    <col min="6407" max="6407" width="9.5546875" style="26" bestFit="1" customWidth="1"/>
    <col min="6408" max="6408" width="10.6640625" style="26" customWidth="1"/>
    <col min="6409" max="6662" width="9.109375" style="26"/>
    <col min="6663" max="6663" width="9.5546875" style="26" bestFit="1" customWidth="1"/>
    <col min="6664" max="6664" width="10.6640625" style="26" customWidth="1"/>
    <col min="6665" max="6918" width="9.109375" style="26"/>
    <col min="6919" max="6919" width="9.5546875" style="26" bestFit="1" customWidth="1"/>
    <col min="6920" max="6920" width="10.6640625" style="26" customWidth="1"/>
    <col min="6921" max="7174" width="9.109375" style="26"/>
    <col min="7175" max="7175" width="9.5546875" style="26" bestFit="1" customWidth="1"/>
    <col min="7176" max="7176" width="10.6640625" style="26" customWidth="1"/>
    <col min="7177" max="7430" width="9.109375" style="26"/>
    <col min="7431" max="7431" width="9.5546875" style="26" bestFit="1" customWidth="1"/>
    <col min="7432" max="7432" width="10.6640625" style="26" customWidth="1"/>
    <col min="7433" max="7686" width="9.109375" style="26"/>
    <col min="7687" max="7687" width="9.5546875" style="26" bestFit="1" customWidth="1"/>
    <col min="7688" max="7688" width="10.6640625" style="26" customWidth="1"/>
    <col min="7689" max="7942" width="9.109375" style="26"/>
    <col min="7943" max="7943" width="9.5546875" style="26" bestFit="1" customWidth="1"/>
    <col min="7944" max="7944" width="10.6640625" style="26" customWidth="1"/>
    <col min="7945" max="8198" width="9.109375" style="26"/>
    <col min="8199" max="8199" width="9.5546875" style="26" bestFit="1" customWidth="1"/>
    <col min="8200" max="8200" width="10.6640625" style="26" customWidth="1"/>
    <col min="8201" max="8454" width="9.109375" style="26"/>
    <col min="8455" max="8455" width="9.5546875" style="26" bestFit="1" customWidth="1"/>
    <col min="8456" max="8456" width="10.6640625" style="26" customWidth="1"/>
    <col min="8457" max="8710" width="9.109375" style="26"/>
    <col min="8711" max="8711" width="9.5546875" style="26" bestFit="1" customWidth="1"/>
    <col min="8712" max="8712" width="10.6640625" style="26" customWidth="1"/>
    <col min="8713" max="8966" width="9.109375" style="26"/>
    <col min="8967" max="8967" width="9.5546875" style="26" bestFit="1" customWidth="1"/>
    <col min="8968" max="8968" width="10.6640625" style="26" customWidth="1"/>
    <col min="8969" max="9222" width="9.109375" style="26"/>
    <col min="9223" max="9223" width="9.5546875" style="26" bestFit="1" customWidth="1"/>
    <col min="9224" max="9224" width="10.6640625" style="26" customWidth="1"/>
    <col min="9225" max="9478" width="9.109375" style="26"/>
    <col min="9479" max="9479" width="9.5546875" style="26" bestFit="1" customWidth="1"/>
    <col min="9480" max="9480" width="10.6640625" style="26" customWidth="1"/>
    <col min="9481" max="9734" width="9.109375" style="26"/>
    <col min="9735" max="9735" width="9.5546875" style="26" bestFit="1" customWidth="1"/>
    <col min="9736" max="9736" width="10.6640625" style="26" customWidth="1"/>
    <col min="9737" max="9990" width="9.109375" style="26"/>
    <col min="9991" max="9991" width="9.5546875" style="26" bestFit="1" customWidth="1"/>
    <col min="9992" max="9992" width="10.6640625" style="26" customWidth="1"/>
    <col min="9993" max="10246" width="9.109375" style="26"/>
    <col min="10247" max="10247" width="9.5546875" style="26" bestFit="1" customWidth="1"/>
    <col min="10248" max="10248" width="10.6640625" style="26" customWidth="1"/>
    <col min="10249" max="10502" width="9.109375" style="26"/>
    <col min="10503" max="10503" width="9.5546875" style="26" bestFit="1" customWidth="1"/>
    <col min="10504" max="10504" width="10.6640625" style="26" customWidth="1"/>
    <col min="10505" max="10758" width="9.109375" style="26"/>
    <col min="10759" max="10759" width="9.5546875" style="26" bestFit="1" customWidth="1"/>
    <col min="10760" max="10760" width="10.6640625" style="26" customWidth="1"/>
    <col min="10761" max="11014" width="9.109375" style="26"/>
    <col min="11015" max="11015" width="9.5546875" style="26" bestFit="1" customWidth="1"/>
    <col min="11016" max="11016" width="10.6640625" style="26" customWidth="1"/>
    <col min="11017" max="11270" width="9.109375" style="26"/>
    <col min="11271" max="11271" width="9.5546875" style="26" bestFit="1" customWidth="1"/>
    <col min="11272" max="11272" width="10.6640625" style="26" customWidth="1"/>
    <col min="11273" max="11526" width="9.109375" style="26"/>
    <col min="11527" max="11527" width="9.5546875" style="26" bestFit="1" customWidth="1"/>
    <col min="11528" max="11528" width="10.6640625" style="26" customWidth="1"/>
    <col min="11529" max="11782" width="9.109375" style="26"/>
    <col min="11783" max="11783" width="9.5546875" style="26" bestFit="1" customWidth="1"/>
    <col min="11784" max="11784" width="10.6640625" style="26" customWidth="1"/>
    <col min="11785" max="12038" width="9.109375" style="26"/>
    <col min="12039" max="12039" width="9.5546875" style="26" bestFit="1" customWidth="1"/>
    <col min="12040" max="12040" width="10.6640625" style="26" customWidth="1"/>
    <col min="12041" max="12294" width="9.109375" style="26"/>
    <col min="12295" max="12295" width="9.5546875" style="26" bestFit="1" customWidth="1"/>
    <col min="12296" max="12296" width="10.6640625" style="26" customWidth="1"/>
    <col min="12297" max="12550" width="9.109375" style="26"/>
    <col min="12551" max="12551" width="9.5546875" style="26" bestFit="1" customWidth="1"/>
    <col min="12552" max="12552" width="10.6640625" style="26" customWidth="1"/>
    <col min="12553" max="12806" width="9.109375" style="26"/>
    <col min="12807" max="12807" width="9.5546875" style="26" bestFit="1" customWidth="1"/>
    <col min="12808" max="12808" width="10.6640625" style="26" customWidth="1"/>
    <col min="12809" max="13062" width="9.109375" style="26"/>
    <col min="13063" max="13063" width="9.5546875" style="26" bestFit="1" customWidth="1"/>
    <col min="13064" max="13064" width="10.6640625" style="26" customWidth="1"/>
    <col min="13065" max="13318" width="9.109375" style="26"/>
    <col min="13319" max="13319" width="9.5546875" style="26" bestFit="1" customWidth="1"/>
    <col min="13320" max="13320" width="10.6640625" style="26" customWidth="1"/>
    <col min="13321" max="13574" width="9.109375" style="26"/>
    <col min="13575" max="13575" width="9.5546875" style="26" bestFit="1" customWidth="1"/>
    <col min="13576" max="13576" width="10.6640625" style="26" customWidth="1"/>
    <col min="13577" max="13830" width="9.109375" style="26"/>
    <col min="13831" max="13831" width="9.5546875" style="26" bestFit="1" customWidth="1"/>
    <col min="13832" max="13832" width="10.6640625" style="26" customWidth="1"/>
    <col min="13833" max="14086" width="9.109375" style="26"/>
    <col min="14087" max="14087" width="9.5546875" style="26" bestFit="1" customWidth="1"/>
    <col min="14088" max="14088" width="10.6640625" style="26" customWidth="1"/>
    <col min="14089" max="14342" width="9.109375" style="26"/>
    <col min="14343" max="14343" width="9.5546875" style="26" bestFit="1" customWidth="1"/>
    <col min="14344" max="14344" width="10.6640625" style="26" customWidth="1"/>
    <col min="14345" max="14598" width="9.109375" style="26"/>
    <col min="14599" max="14599" width="9.5546875" style="26" bestFit="1" customWidth="1"/>
    <col min="14600" max="14600" width="10.6640625" style="26" customWidth="1"/>
    <col min="14601" max="14854" width="9.109375" style="26"/>
    <col min="14855" max="14855" width="9.5546875" style="26" bestFit="1" customWidth="1"/>
    <col min="14856" max="14856" width="10.6640625" style="26" customWidth="1"/>
    <col min="14857" max="15110" width="9.109375" style="26"/>
    <col min="15111" max="15111" width="9.5546875" style="26" bestFit="1" customWidth="1"/>
    <col min="15112" max="15112" width="10.6640625" style="26" customWidth="1"/>
    <col min="15113" max="15366" width="9.109375" style="26"/>
    <col min="15367" max="15367" width="9.5546875" style="26" bestFit="1" customWidth="1"/>
    <col min="15368" max="15368" width="10.6640625" style="26" customWidth="1"/>
    <col min="15369" max="15622" width="9.109375" style="26"/>
    <col min="15623" max="15623" width="9.5546875" style="26" bestFit="1" customWidth="1"/>
    <col min="15624" max="15624" width="10.6640625" style="26" customWidth="1"/>
    <col min="15625" max="15878" width="9.109375" style="26"/>
    <col min="15879" max="15879" width="9.5546875" style="26" bestFit="1" customWidth="1"/>
    <col min="15880" max="15880" width="10.6640625" style="26" customWidth="1"/>
    <col min="15881" max="16134" width="9.109375" style="26"/>
    <col min="16135" max="16135" width="9.5546875" style="26" bestFit="1" customWidth="1"/>
    <col min="16136" max="16136" width="10.6640625" style="26" customWidth="1"/>
    <col min="16137" max="16384" width="9.109375" style="26"/>
  </cols>
  <sheetData>
    <row r="1" spans="1:15" ht="13.8" thickBot="1" x14ac:dyDescent="0.3">
      <c r="A1" s="84" t="s">
        <v>281</v>
      </c>
      <c r="B1" s="275" t="s">
        <v>402</v>
      </c>
      <c r="C1" s="33">
        <f>Drives!BA21</f>
        <v>38490.017945975058</v>
      </c>
      <c r="D1" s="28" t="s">
        <v>7</v>
      </c>
      <c r="E1" s="300">
        <v>6</v>
      </c>
      <c r="F1" s="301">
        <f>MAX(0.1,E1+100/C1)</f>
        <v>6.0025980762113536</v>
      </c>
      <c r="G1" s="36" t="s">
        <v>1</v>
      </c>
      <c r="H1" s="29">
        <f>IF(J1=0,0,H4/J1)</f>
        <v>0</v>
      </c>
      <c r="I1" s="54" t="s">
        <v>94</v>
      </c>
      <c r="J1" s="34">
        <f>Drives!Z21</f>
        <v>0</v>
      </c>
      <c r="K1" s="26" t="s">
        <v>84</v>
      </c>
      <c r="N1" s="254">
        <v>0.96499999999999997</v>
      </c>
      <c r="O1" s="26" t="s">
        <v>176</v>
      </c>
    </row>
    <row r="2" spans="1:15" x14ac:dyDescent="0.25">
      <c r="A2" s="269" t="s">
        <v>88</v>
      </c>
      <c r="B2" s="276">
        <v>21</v>
      </c>
      <c r="D2" s="26">
        <f>C4+1</f>
        <v>8</v>
      </c>
      <c r="E2" s="41">
        <f>F1-C3</f>
        <v>2.5980762113535505E-3</v>
      </c>
      <c r="F2" s="36"/>
      <c r="G2" s="36"/>
      <c r="J2" s="29">
        <f>IF(J1&gt;=0.6, 0.7+(J1-0.6)*0.75, IF(J1&gt;=0.2, 0.3+(J1-0.2)*1, J1*1.5))</f>
        <v>0</v>
      </c>
      <c r="K2" s="26" t="s">
        <v>60</v>
      </c>
    </row>
    <row r="3" spans="1:15" ht="13.8" thickBot="1" x14ac:dyDescent="0.3">
      <c r="A3" s="270" t="s">
        <v>365</v>
      </c>
      <c r="C3" s="41">
        <f>HLOOKUP($F$1,$D$62:$U$113,(B3+1))</f>
        <v>6</v>
      </c>
      <c r="D3" s="41">
        <f>HLOOKUP($D$2,$D$61:$U$113,(B3+2))</f>
        <v>7</v>
      </c>
      <c r="E3" s="26">
        <f>D3-C3</f>
        <v>1</v>
      </c>
      <c r="F3" s="26">
        <f>IF(E3=0,1,E2/E3)</f>
        <v>2.5980762113535505E-3</v>
      </c>
      <c r="G3" s="32">
        <f>C3+(E3*F3)</f>
        <v>6.0025980762113536</v>
      </c>
      <c r="J3" s="31"/>
    </row>
    <row r="4" spans="1:15" ht="13.8" thickBot="1" x14ac:dyDescent="0.3">
      <c r="A4" s="31" t="s">
        <v>90</v>
      </c>
      <c r="B4" s="26">
        <v>1</v>
      </c>
      <c r="C4" s="302">
        <f t="shared" ref="C4:C53" si="0">HLOOKUP($F$1,$D$62:$U$113,(B4+1))</f>
        <v>7</v>
      </c>
      <c r="D4" s="302">
        <f t="shared" ref="D4:D53" si="1">HLOOKUP($D$2,$D$61:$U$113,(B4+2))</f>
        <v>8</v>
      </c>
      <c r="G4" s="27">
        <v>100</v>
      </c>
      <c r="H4" s="34">
        <f>Drives!AR21</f>
        <v>0</v>
      </c>
      <c r="I4" s="26" t="s">
        <v>53</v>
      </c>
    </row>
    <row r="5" spans="1:15" x14ac:dyDescent="0.25">
      <c r="A5" s="31"/>
      <c r="B5" s="26">
        <v>2</v>
      </c>
      <c r="C5" s="52">
        <f t="shared" si="0"/>
        <v>1.5488830696511377E-2</v>
      </c>
      <c r="D5" s="52">
        <f t="shared" si="1"/>
        <v>1.1120918013740941E-2</v>
      </c>
      <c r="E5" s="48">
        <f t="shared" ref="E5:E53" si="2">D5-C5</f>
        <v>-4.3679126827704355E-3</v>
      </c>
      <c r="F5" s="48">
        <f t="shared" ref="F5:F53" si="3">E5*$F$3</f>
        <v>-1.1348170034375335E-5</v>
      </c>
      <c r="G5" s="48">
        <f t="shared" ref="G5:G53" si="4">C5+F5</f>
        <v>1.5477482526477002E-2</v>
      </c>
      <c r="H5" s="30">
        <f>J$2*G5*$H$1/100</f>
        <v>0</v>
      </c>
    </row>
    <row r="6" spans="1:15" x14ac:dyDescent="0.25">
      <c r="A6" s="270" t="s">
        <v>405</v>
      </c>
      <c r="B6" s="26">
        <v>3</v>
      </c>
      <c r="C6" s="52">
        <f t="shared" si="0"/>
        <v>5.1365577880102951</v>
      </c>
      <c r="D6" s="52">
        <f t="shared" si="1"/>
        <v>3.7115343236794409</v>
      </c>
      <c r="E6" s="48">
        <f t="shared" si="2"/>
        <v>-1.4250234643308541</v>
      </c>
      <c r="F6" s="48">
        <f t="shared" si="3"/>
        <v>-3.7023195632986169E-3</v>
      </c>
      <c r="G6" s="48">
        <f t="shared" si="4"/>
        <v>5.132855468446996</v>
      </c>
      <c r="H6" s="30">
        <f t="shared" ref="H6:H53" si="5">J$2*G6*$H$1/100</f>
        <v>0</v>
      </c>
    </row>
    <row r="7" spans="1:15" x14ac:dyDescent="0.25">
      <c r="A7" s="270" t="s">
        <v>92</v>
      </c>
      <c r="B7" s="26">
        <v>4</v>
      </c>
      <c r="C7" s="52">
        <f t="shared" si="0"/>
        <v>2.4591818946340816E-2</v>
      </c>
      <c r="D7" s="52">
        <f t="shared" si="1"/>
        <v>2.2309871990685983E-2</v>
      </c>
      <c r="E7" s="48">
        <f t="shared" si="2"/>
        <v>-2.281946955654833E-3</v>
      </c>
      <c r="F7" s="48">
        <f t="shared" si="3"/>
        <v>-5.9286721010574771E-6</v>
      </c>
      <c r="G7" s="48">
        <f t="shared" si="4"/>
        <v>2.4585890274239759E-2</v>
      </c>
      <c r="H7" s="30">
        <f t="shared" si="5"/>
        <v>0</v>
      </c>
    </row>
    <row r="8" spans="1:15" x14ac:dyDescent="0.25">
      <c r="A8" s="50"/>
      <c r="B8" s="26">
        <v>5</v>
      </c>
      <c r="C8" s="52">
        <f t="shared" si="0"/>
        <v>34.240442443062605</v>
      </c>
      <c r="D8" s="52">
        <f t="shared" si="1"/>
        <v>31.801834469310585</v>
      </c>
      <c r="E8" s="48">
        <f t="shared" si="2"/>
        <v>-2.4386079737520205</v>
      </c>
      <c r="F8" s="48">
        <f t="shared" si="3"/>
        <v>-6.3356893654222084E-3</v>
      </c>
      <c r="G8" s="48">
        <f t="shared" si="4"/>
        <v>34.234106753697183</v>
      </c>
      <c r="H8" s="30">
        <f t="shared" si="5"/>
        <v>0</v>
      </c>
    </row>
    <row r="9" spans="1:15" x14ac:dyDescent="0.25">
      <c r="A9" s="50"/>
      <c r="B9" s="26">
        <v>6</v>
      </c>
      <c r="C9" s="52">
        <f t="shared" si="0"/>
        <v>4.5194792975590103E-3</v>
      </c>
      <c r="D9" s="52">
        <f t="shared" si="1"/>
        <v>6.0169639857389576E-3</v>
      </c>
      <c r="E9" s="48">
        <f t="shared" si="2"/>
        <v>1.4974846881799474E-3</v>
      </c>
      <c r="F9" s="48">
        <f t="shared" si="3"/>
        <v>3.8905793452265106E-6</v>
      </c>
      <c r="G9" s="48">
        <f t="shared" si="4"/>
        <v>4.5233698769042369E-3</v>
      </c>
      <c r="H9" s="30">
        <f t="shared" si="5"/>
        <v>0</v>
      </c>
    </row>
    <row r="10" spans="1:15" x14ac:dyDescent="0.25">
      <c r="B10" s="26">
        <v>7</v>
      </c>
      <c r="C10" s="52">
        <f t="shared" si="0"/>
        <v>8.4234250472584673</v>
      </c>
      <c r="D10" s="52">
        <f t="shared" si="1"/>
        <v>7.3447486655802345</v>
      </c>
      <c r="E10" s="48">
        <f t="shared" si="2"/>
        <v>-1.0786763816782328</v>
      </c>
      <c r="F10" s="48">
        <f t="shared" si="3"/>
        <v>-2.8024834469871393E-3</v>
      </c>
      <c r="G10" s="48">
        <f t="shared" si="4"/>
        <v>8.4206225638114809</v>
      </c>
      <c r="H10" s="30">
        <f t="shared" si="5"/>
        <v>0</v>
      </c>
    </row>
    <row r="11" spans="1:15" x14ac:dyDescent="0.25">
      <c r="B11" s="26">
        <v>8</v>
      </c>
      <c r="C11" s="52">
        <f t="shared" si="0"/>
        <v>1.2636657164619786E-2</v>
      </c>
      <c r="D11" s="52">
        <f t="shared" si="1"/>
        <v>1.0643351525778579E-2</v>
      </c>
      <c r="E11" s="48">
        <f t="shared" si="2"/>
        <v>-1.9933056388412064E-3</v>
      </c>
      <c r="F11" s="48">
        <f t="shared" si="3"/>
        <v>-5.17875996223023E-6</v>
      </c>
      <c r="G11" s="48">
        <f t="shared" si="4"/>
        <v>1.2631478404657556E-2</v>
      </c>
      <c r="H11" s="30">
        <f t="shared" si="5"/>
        <v>0</v>
      </c>
    </row>
    <row r="12" spans="1:15" x14ac:dyDescent="0.25">
      <c r="B12" s="26">
        <v>9</v>
      </c>
      <c r="C12" s="52">
        <f t="shared" si="0"/>
        <v>0.98716445545758624</v>
      </c>
      <c r="D12" s="52">
        <f t="shared" si="1"/>
        <v>0.68104076968532634</v>
      </c>
      <c r="E12" s="48">
        <f t="shared" si="2"/>
        <v>-0.3061236857722599</v>
      </c>
      <c r="F12" s="48">
        <f t="shared" si="3"/>
        <v>-7.9533266573677782E-4</v>
      </c>
      <c r="G12" s="48">
        <f t="shared" si="4"/>
        <v>0.98636912279184952</v>
      </c>
      <c r="H12" s="30">
        <f t="shared" si="5"/>
        <v>0</v>
      </c>
    </row>
    <row r="13" spans="1:15" x14ac:dyDescent="0.25">
      <c r="B13" s="26">
        <v>10</v>
      </c>
      <c r="C13" s="52">
        <f t="shared" si="0"/>
        <v>7.8770677291336265E-3</v>
      </c>
      <c r="D13" s="52">
        <f t="shared" si="1"/>
        <v>6.6241460677741474E-3</v>
      </c>
      <c r="E13" s="48">
        <f t="shared" si="2"/>
        <v>-1.2529216613594791E-3</v>
      </c>
      <c r="F13" s="48">
        <f t="shared" si="3"/>
        <v>-3.2551859630676315E-6</v>
      </c>
      <c r="G13" s="48">
        <f t="shared" si="4"/>
        <v>7.873812543170558E-3</v>
      </c>
      <c r="H13" s="30">
        <f t="shared" si="5"/>
        <v>0</v>
      </c>
    </row>
    <row r="14" spans="1:15" x14ac:dyDescent="0.25">
      <c r="B14" s="26">
        <v>11</v>
      </c>
      <c r="C14" s="52">
        <f t="shared" si="0"/>
        <v>6.5341193000171698</v>
      </c>
      <c r="D14" s="52">
        <f t="shared" si="1"/>
        <v>6.0786150094839924</v>
      </c>
      <c r="E14" s="48">
        <f t="shared" si="2"/>
        <v>-0.45550429053317743</v>
      </c>
      <c r="F14" s="48">
        <f t="shared" si="3"/>
        <v>-1.1834348614037245E-3</v>
      </c>
      <c r="G14" s="48">
        <f t="shared" si="4"/>
        <v>6.5329358651557659</v>
      </c>
      <c r="H14" s="30">
        <f t="shared" si="5"/>
        <v>0</v>
      </c>
    </row>
    <row r="15" spans="1:15" x14ac:dyDescent="0.25">
      <c r="B15" s="26">
        <v>12</v>
      </c>
      <c r="C15" s="52">
        <f t="shared" si="0"/>
        <v>1.2658928420938899E-3</v>
      </c>
      <c r="D15" s="52">
        <f t="shared" si="1"/>
        <v>7.2345470714335765E-4</v>
      </c>
      <c r="E15" s="48">
        <f t="shared" si="2"/>
        <v>-5.4243813495053221E-4</v>
      </c>
      <c r="F15" s="48">
        <f t="shared" si="3"/>
        <v>-1.4092956145459646E-6</v>
      </c>
      <c r="G15" s="48">
        <f t="shared" si="4"/>
        <v>1.2644835464793438E-3</v>
      </c>
      <c r="H15" s="30">
        <f t="shared" si="5"/>
        <v>0</v>
      </c>
    </row>
    <row r="16" spans="1:15" x14ac:dyDescent="0.25">
      <c r="B16" s="26">
        <v>13</v>
      </c>
      <c r="C16" s="52">
        <f t="shared" si="0"/>
        <v>3.1927019928471165</v>
      </c>
      <c r="D16" s="52">
        <f t="shared" si="1"/>
        <v>3.1590323561450395</v>
      </c>
      <c r="E16" s="48">
        <f t="shared" si="2"/>
        <v>-3.366963670207701E-2</v>
      </c>
      <c r="F16" s="48">
        <f t="shared" si="3"/>
        <v>-8.7476282160582687E-5</v>
      </c>
      <c r="G16" s="48">
        <f t="shared" si="4"/>
        <v>3.192614516564956</v>
      </c>
      <c r="H16" s="30">
        <f t="shared" si="5"/>
        <v>0</v>
      </c>
    </row>
    <row r="17" spans="2:8" x14ac:dyDescent="0.25">
      <c r="B17" s="26">
        <v>14</v>
      </c>
      <c r="C17" s="52">
        <f t="shared" si="0"/>
        <v>1.3726550136797936E-2</v>
      </c>
      <c r="D17" s="52">
        <f t="shared" si="1"/>
        <v>1.2922710779955417E-2</v>
      </c>
      <c r="E17" s="48">
        <f t="shared" si="2"/>
        <v>-8.0383935684251971E-4</v>
      </c>
      <c r="F17" s="48">
        <f t="shared" si="3"/>
        <v>-2.0884359107622884E-6</v>
      </c>
      <c r="G17" s="48">
        <f t="shared" si="4"/>
        <v>1.3724461700887173E-2</v>
      </c>
      <c r="H17" s="30">
        <f t="shared" si="5"/>
        <v>0</v>
      </c>
    </row>
    <row r="18" spans="2:8" x14ac:dyDescent="0.25">
      <c r="B18" s="26">
        <v>15</v>
      </c>
      <c r="C18" s="52">
        <f t="shared" si="0"/>
        <v>0.47689818111624066</v>
      </c>
      <c r="D18" s="52">
        <f t="shared" si="1"/>
        <v>0.32445444976062632</v>
      </c>
      <c r="E18" s="48">
        <f t="shared" si="2"/>
        <v>-0.15244373135561434</v>
      </c>
      <c r="F18" s="48">
        <f t="shared" si="3"/>
        <v>-3.9606043200499298E-4</v>
      </c>
      <c r="G18" s="48">
        <f t="shared" si="4"/>
        <v>0.47650212068423564</v>
      </c>
      <c r="H18" s="30">
        <f t="shared" si="5"/>
        <v>0</v>
      </c>
    </row>
    <row r="19" spans="2:8" x14ac:dyDescent="0.25">
      <c r="B19" s="26">
        <v>16</v>
      </c>
      <c r="C19" s="52">
        <f t="shared" si="0"/>
        <v>1.1176506405604431E-2</v>
      </c>
      <c r="D19" s="52">
        <f t="shared" si="1"/>
        <v>1.0797812516310075E-2</v>
      </c>
      <c r="E19" s="48">
        <f t="shared" si="2"/>
        <v>-3.786938892943563E-4</v>
      </c>
      <c r="F19" s="48">
        <f t="shared" si="3"/>
        <v>-9.8387558516062208E-7</v>
      </c>
      <c r="G19" s="48">
        <f t="shared" si="4"/>
        <v>1.117552253001927E-2</v>
      </c>
      <c r="H19" s="30">
        <f t="shared" si="5"/>
        <v>0</v>
      </c>
    </row>
    <row r="20" spans="2:8" x14ac:dyDescent="0.25">
      <c r="B20" s="26">
        <v>17</v>
      </c>
      <c r="C20" s="52">
        <f t="shared" si="0"/>
        <v>2.4617473384512585</v>
      </c>
      <c r="D20" s="52">
        <f t="shared" si="1"/>
        <v>2.1281057585635259</v>
      </c>
      <c r="E20" s="48">
        <f t="shared" si="2"/>
        <v>-0.33364157988773258</v>
      </c>
      <c r="F20" s="48">
        <f t="shared" si="3"/>
        <v>-8.6682625182473317E-4</v>
      </c>
      <c r="G20" s="48">
        <f t="shared" si="4"/>
        <v>2.4608805121994339</v>
      </c>
      <c r="H20" s="30">
        <f t="shared" si="5"/>
        <v>0</v>
      </c>
    </row>
    <row r="21" spans="2:8" x14ac:dyDescent="0.25">
      <c r="B21" s="26">
        <v>18</v>
      </c>
      <c r="C21" s="52">
        <f t="shared" si="0"/>
        <v>9.7248963017647263E-4</v>
      </c>
      <c r="D21" s="52">
        <f t="shared" si="1"/>
        <v>5.3824967182370125E-4</v>
      </c>
      <c r="E21" s="48">
        <f t="shared" si="2"/>
        <v>-4.3423995835277138E-4</v>
      </c>
      <c r="F21" s="48">
        <f t="shared" si="3"/>
        <v>-1.1281885058154917E-6</v>
      </c>
      <c r="G21" s="48">
        <f t="shared" si="4"/>
        <v>9.7136144167065709E-4</v>
      </c>
      <c r="H21" s="30">
        <f t="shared" si="5"/>
        <v>0</v>
      </c>
    </row>
    <row r="22" spans="2:8" x14ac:dyDescent="0.25">
      <c r="B22" s="26">
        <v>19</v>
      </c>
      <c r="C22" s="52">
        <f t="shared" si="0"/>
        <v>1.7533389509717254</v>
      </c>
      <c r="D22" s="52">
        <f t="shared" si="1"/>
        <v>1.6441205577377018</v>
      </c>
      <c r="E22" s="48">
        <f t="shared" si="2"/>
        <v>-0.1092183932340236</v>
      </c>
      <c r="F22" s="48">
        <f t="shared" si="3"/>
        <v>-2.837577093035743E-4</v>
      </c>
      <c r="G22" s="48">
        <f t="shared" si="4"/>
        <v>1.7530551932624219</v>
      </c>
      <c r="H22" s="30">
        <f t="shared" si="5"/>
        <v>0</v>
      </c>
    </row>
    <row r="23" spans="2:8" x14ac:dyDescent="0.25">
      <c r="B23" s="26">
        <v>20</v>
      </c>
      <c r="C23" s="52">
        <f t="shared" si="0"/>
        <v>1.2482583619361326E-2</v>
      </c>
      <c r="D23" s="52">
        <f t="shared" si="1"/>
        <v>1.0659586926913772E-2</v>
      </c>
      <c r="E23" s="48">
        <f t="shared" si="2"/>
        <v>-1.8229966924475545E-3</v>
      </c>
      <c r="F23" s="48">
        <f t="shared" si="3"/>
        <v>-4.7362843400241957E-6</v>
      </c>
      <c r="G23" s="48">
        <f t="shared" si="4"/>
        <v>1.2477847335021303E-2</v>
      </c>
      <c r="H23" s="30">
        <f t="shared" si="5"/>
        <v>0</v>
      </c>
    </row>
    <row r="24" spans="2:8" x14ac:dyDescent="0.25">
      <c r="B24" s="26">
        <v>21</v>
      </c>
      <c r="C24" s="52">
        <f t="shared" si="0"/>
        <v>0.33639919482821595</v>
      </c>
      <c r="D24" s="52">
        <f t="shared" si="1"/>
        <v>0.24976274080004948</v>
      </c>
      <c r="E24" s="48">
        <f t="shared" si="2"/>
        <v>-8.6636454028166471E-2</v>
      </c>
      <c r="F24" s="48">
        <f t="shared" si="3"/>
        <v>-2.2508811024660478E-4</v>
      </c>
      <c r="G24" s="48">
        <f t="shared" si="4"/>
        <v>0.33617410671796932</v>
      </c>
      <c r="H24" s="30">
        <f t="shared" si="5"/>
        <v>0</v>
      </c>
    </row>
    <row r="25" spans="2:8" x14ac:dyDescent="0.25">
      <c r="B25" s="26">
        <v>22</v>
      </c>
      <c r="C25" s="52">
        <f t="shared" si="0"/>
        <v>9.9334339431091864E-3</v>
      </c>
      <c r="D25" s="52">
        <f t="shared" si="1"/>
        <v>8.7776949548354632E-3</v>
      </c>
      <c r="E25" s="48">
        <f t="shared" si="2"/>
        <v>-1.1557389882737232E-3</v>
      </c>
      <c r="F25" s="48">
        <f t="shared" si="3"/>
        <v>-3.00269797196778E-6</v>
      </c>
      <c r="G25" s="48">
        <f t="shared" si="4"/>
        <v>9.9304312451372178E-3</v>
      </c>
      <c r="H25" s="30">
        <f t="shared" si="5"/>
        <v>0</v>
      </c>
    </row>
    <row r="26" spans="2:8" x14ac:dyDescent="0.25">
      <c r="B26" s="26">
        <v>23</v>
      </c>
      <c r="C26" s="52">
        <f t="shared" si="0"/>
        <v>1.1709027163413299</v>
      </c>
      <c r="D26" s="52">
        <f t="shared" si="1"/>
        <v>1.0449622436221531</v>
      </c>
      <c r="E26" s="48">
        <f t="shared" si="2"/>
        <v>-0.12594047271917685</v>
      </c>
      <c r="F26" s="48">
        <f t="shared" si="3"/>
        <v>-3.2720294621831417E-4</v>
      </c>
      <c r="G26" s="48">
        <f t="shared" si="4"/>
        <v>1.1705755133951117</v>
      </c>
      <c r="H26" s="30">
        <f t="shared" si="5"/>
        <v>0</v>
      </c>
    </row>
    <row r="27" spans="2:8" x14ac:dyDescent="0.25">
      <c r="B27" s="26">
        <v>24</v>
      </c>
      <c r="C27" s="52">
        <f t="shared" si="0"/>
        <v>2.9855222275943743E-3</v>
      </c>
      <c r="D27" s="52">
        <f t="shared" si="1"/>
        <v>2.3272957918215429E-3</v>
      </c>
      <c r="E27" s="48">
        <f t="shared" si="2"/>
        <v>-6.5822643577283148E-4</v>
      </c>
      <c r="F27" s="48">
        <f t="shared" si="3"/>
        <v>-1.7101224444654292E-6</v>
      </c>
      <c r="G27" s="48">
        <f t="shared" si="4"/>
        <v>2.9838121051499089E-3</v>
      </c>
      <c r="H27" s="30">
        <f t="shared" si="5"/>
        <v>0</v>
      </c>
    </row>
    <row r="28" spans="2:8" x14ac:dyDescent="0.25">
      <c r="B28" s="26">
        <v>25</v>
      </c>
      <c r="C28" s="52">
        <f t="shared" si="0"/>
        <v>0.89181945133108653</v>
      </c>
      <c r="D28" s="52">
        <f t="shared" si="1"/>
        <v>0.77335390981045959</v>
      </c>
      <c r="E28" s="48">
        <f t="shared" si="2"/>
        <v>-0.11846554152062694</v>
      </c>
      <c r="F28" s="48">
        <f t="shared" si="3"/>
        <v>-3.0778250528985714E-4</v>
      </c>
      <c r="G28" s="48">
        <f t="shared" si="4"/>
        <v>0.89151166882579669</v>
      </c>
      <c r="H28" s="30">
        <f t="shared" si="5"/>
        <v>0</v>
      </c>
    </row>
    <row r="29" spans="2:8" x14ac:dyDescent="0.25">
      <c r="B29" s="26">
        <v>26</v>
      </c>
      <c r="C29" s="52">
        <f t="shared" si="0"/>
        <v>1.1494261330574136E-2</v>
      </c>
      <c r="D29" s="52">
        <f t="shared" si="1"/>
        <v>1.1502164549246671E-2</v>
      </c>
      <c r="E29" s="48">
        <f t="shared" si="2"/>
        <v>7.9032186725350173E-6</v>
      </c>
      <c r="F29" s="48">
        <f t="shared" si="3"/>
        <v>2.0533164426238416E-8</v>
      </c>
      <c r="G29" s="48">
        <f t="shared" si="4"/>
        <v>1.1494281863738562E-2</v>
      </c>
      <c r="H29" s="30">
        <f t="shared" si="5"/>
        <v>0</v>
      </c>
    </row>
    <row r="30" spans="2:8" x14ac:dyDescent="0.25">
      <c r="B30" s="26">
        <v>27</v>
      </c>
      <c r="C30" s="52">
        <f t="shared" si="0"/>
        <v>0.28326195110267732</v>
      </c>
      <c r="D30" s="52">
        <f t="shared" si="1"/>
        <v>0.20563582476045428</v>
      </c>
      <c r="E30" s="48">
        <f t="shared" si="2"/>
        <v>-7.7626126342223045E-2</v>
      </c>
      <c r="F30" s="48">
        <f t="shared" si="3"/>
        <v>-2.016785922292549E-4</v>
      </c>
      <c r="G30" s="48">
        <f t="shared" si="4"/>
        <v>0.28306027251044807</v>
      </c>
      <c r="H30" s="30">
        <f t="shared" si="5"/>
        <v>0</v>
      </c>
    </row>
    <row r="31" spans="2:8" x14ac:dyDescent="0.25">
      <c r="B31" s="26">
        <v>28</v>
      </c>
      <c r="C31" s="52">
        <f t="shared" si="0"/>
        <v>1.0537656791068419E-2</v>
      </c>
      <c r="D31" s="52">
        <f t="shared" si="1"/>
        <v>9.2930775732190107E-3</v>
      </c>
      <c r="E31" s="48">
        <f t="shared" si="2"/>
        <v>-1.2445792178494078E-3</v>
      </c>
      <c r="F31" s="48">
        <f t="shared" si="3"/>
        <v>-3.2335116590395544E-6</v>
      </c>
      <c r="G31" s="48">
        <f t="shared" si="4"/>
        <v>1.0534423279409379E-2</v>
      </c>
      <c r="H31" s="30">
        <f t="shared" si="5"/>
        <v>0</v>
      </c>
    </row>
    <row r="32" spans="2:8" x14ac:dyDescent="0.25">
      <c r="B32" s="26">
        <v>29</v>
      </c>
      <c r="C32" s="52">
        <f t="shared" si="0"/>
        <v>0.75678843679568575</v>
      </c>
      <c r="D32" s="52">
        <f t="shared" si="1"/>
        <v>0.75575983296320848</v>
      </c>
      <c r="E32" s="48">
        <f t="shared" si="2"/>
        <v>-1.0286038324772706E-3</v>
      </c>
      <c r="F32" s="48">
        <f t="shared" si="3"/>
        <v>-2.6723911480662893E-6</v>
      </c>
      <c r="G32" s="48">
        <f t="shared" si="4"/>
        <v>0.75678576440453771</v>
      </c>
      <c r="H32" s="30">
        <f t="shared" si="5"/>
        <v>0</v>
      </c>
    </row>
    <row r="33" spans="2:8" x14ac:dyDescent="0.25">
      <c r="B33" s="26">
        <v>30</v>
      </c>
      <c r="C33" s="52">
        <f t="shared" si="0"/>
        <v>3.6991571943863818E-3</v>
      </c>
      <c r="D33" s="52">
        <f t="shared" si="1"/>
        <v>1.9564019833816105E-3</v>
      </c>
      <c r="E33" s="48">
        <f t="shared" si="2"/>
        <v>-1.7427552110047713E-3</v>
      </c>
      <c r="F33" s="48">
        <f t="shared" si="3"/>
        <v>-4.5278108559239336E-6</v>
      </c>
      <c r="G33" s="48">
        <f t="shared" si="4"/>
        <v>3.6946293835304579E-3</v>
      </c>
      <c r="H33" s="30">
        <f t="shared" si="5"/>
        <v>0</v>
      </c>
    </row>
    <row r="34" spans="2:8" x14ac:dyDescent="0.25">
      <c r="B34" s="26">
        <v>31</v>
      </c>
      <c r="C34" s="52">
        <f t="shared" si="0"/>
        <v>0.46221863452787271</v>
      </c>
      <c r="D34" s="52">
        <f t="shared" si="1"/>
        <v>0.42486576546865334</v>
      </c>
      <c r="E34" s="48">
        <f t="shared" si="2"/>
        <v>-3.7352869059219362E-2</v>
      </c>
      <c r="F34" s="48">
        <f t="shared" si="3"/>
        <v>-9.70456005285619E-5</v>
      </c>
      <c r="G34" s="48">
        <f t="shared" si="4"/>
        <v>0.46212158892734412</v>
      </c>
      <c r="H34" s="30">
        <f t="shared" si="5"/>
        <v>0</v>
      </c>
    </row>
    <row r="35" spans="2:8" x14ac:dyDescent="0.25">
      <c r="B35" s="26">
        <v>32</v>
      </c>
      <c r="C35" s="52">
        <f t="shared" si="0"/>
        <v>1.1901375104307985E-2</v>
      </c>
      <c r="D35" s="52">
        <f t="shared" si="1"/>
        <v>1.1921658515740853E-2</v>
      </c>
      <c r="E35" s="48">
        <f t="shared" si="2"/>
        <v>2.028341143286809E-5</v>
      </c>
      <c r="F35" s="48">
        <f t="shared" si="3"/>
        <v>5.2697848728831218E-8</v>
      </c>
      <c r="G35" s="48">
        <f t="shared" si="4"/>
        <v>1.1901427802156713E-2</v>
      </c>
      <c r="H35" s="30">
        <f t="shared" si="5"/>
        <v>0</v>
      </c>
    </row>
    <row r="36" spans="2:8" x14ac:dyDescent="0.25">
      <c r="B36" s="26">
        <v>33</v>
      </c>
      <c r="C36" s="52">
        <f t="shared" si="0"/>
        <v>0.22742267911109676</v>
      </c>
      <c r="D36" s="52">
        <f t="shared" si="1"/>
        <v>0.15381673439332844</v>
      </c>
      <c r="E36" s="48">
        <f t="shared" si="2"/>
        <v>-7.3605944717768323E-2</v>
      </c>
      <c r="F36" s="48">
        <f t="shared" si="3"/>
        <v>-1.912338539854384E-4</v>
      </c>
      <c r="G36" s="48">
        <f t="shared" si="4"/>
        <v>0.22723144525711131</v>
      </c>
      <c r="H36" s="30">
        <f t="shared" si="5"/>
        <v>0</v>
      </c>
    </row>
    <row r="37" spans="2:8" x14ac:dyDescent="0.25">
      <c r="B37" s="26">
        <v>34</v>
      </c>
      <c r="C37" s="52">
        <f t="shared" si="0"/>
        <v>0.14805460867942424</v>
      </c>
      <c r="D37" s="52">
        <f t="shared" si="1"/>
        <v>0.10865726471480185</v>
      </c>
      <c r="E37" s="48">
        <f t="shared" si="2"/>
        <v>-3.9397343964622397E-2</v>
      </c>
      <c r="F37" s="48">
        <f t="shared" si="3"/>
        <v>-1.0235730214499882E-4</v>
      </c>
      <c r="G37" s="48">
        <f t="shared" si="4"/>
        <v>0.14795225137727924</v>
      </c>
      <c r="H37" s="30">
        <f t="shared" si="5"/>
        <v>0</v>
      </c>
    </row>
    <row r="38" spans="2:8" x14ac:dyDescent="0.25">
      <c r="B38" s="26">
        <v>35</v>
      </c>
      <c r="C38" s="52">
        <f t="shared" si="0"/>
        <v>0.5658478637815777</v>
      </c>
      <c r="D38" s="52">
        <f t="shared" si="1"/>
        <v>0.55172205299175037</v>
      </c>
      <c r="E38" s="48">
        <f t="shared" si="2"/>
        <v>-1.4125810789827331E-2</v>
      </c>
      <c r="F38" s="48">
        <f t="shared" si="3"/>
        <v>-3.6699932979131698E-5</v>
      </c>
      <c r="G38" s="48">
        <f t="shared" si="4"/>
        <v>0.56581116384859853</v>
      </c>
      <c r="H38" s="30">
        <f t="shared" si="5"/>
        <v>0</v>
      </c>
    </row>
    <row r="39" spans="2:8" x14ac:dyDescent="0.25">
      <c r="B39" s="26">
        <v>36</v>
      </c>
      <c r="C39" s="52">
        <f t="shared" si="0"/>
        <v>0.14805460867942424</v>
      </c>
      <c r="D39" s="52">
        <f t="shared" si="1"/>
        <v>0.10865726471480185</v>
      </c>
      <c r="E39" s="48">
        <f t="shared" si="2"/>
        <v>-3.9397343964622397E-2</v>
      </c>
      <c r="F39" s="48">
        <f t="shared" si="3"/>
        <v>-1.0235730214499882E-4</v>
      </c>
      <c r="G39" s="48">
        <f t="shared" si="4"/>
        <v>0.14795225137727924</v>
      </c>
      <c r="H39" s="30">
        <f t="shared" si="5"/>
        <v>0</v>
      </c>
    </row>
    <row r="40" spans="2:8" x14ac:dyDescent="0.25">
      <c r="B40" s="26">
        <v>37</v>
      </c>
      <c r="C40" s="52">
        <f t="shared" si="0"/>
        <v>0.32136315457507253</v>
      </c>
      <c r="D40" s="52">
        <f t="shared" si="1"/>
        <v>0.32334277343163409</v>
      </c>
      <c r="E40" s="48">
        <f t="shared" si="2"/>
        <v>1.9796188565615602E-3</v>
      </c>
      <c r="F40" s="48">
        <f t="shared" si="3"/>
        <v>5.1432006587795064E-6</v>
      </c>
      <c r="G40" s="48">
        <f t="shared" si="4"/>
        <v>0.32136829777573128</v>
      </c>
      <c r="H40" s="30">
        <f t="shared" si="5"/>
        <v>0</v>
      </c>
    </row>
    <row r="41" spans="2:8" x14ac:dyDescent="0.25">
      <c r="B41" s="26">
        <v>38</v>
      </c>
      <c r="C41" s="52">
        <f t="shared" si="0"/>
        <v>0.14805460867942424</v>
      </c>
      <c r="D41" s="52">
        <f t="shared" si="1"/>
        <v>0.10865726471480185</v>
      </c>
      <c r="E41" s="48">
        <f t="shared" si="2"/>
        <v>-3.9397343964622397E-2</v>
      </c>
      <c r="F41" s="48">
        <f t="shared" si="3"/>
        <v>-1.0235730214499882E-4</v>
      </c>
      <c r="G41" s="48">
        <f t="shared" si="4"/>
        <v>0.14795225137727924</v>
      </c>
      <c r="H41" s="30">
        <f t="shared" si="5"/>
        <v>0</v>
      </c>
    </row>
    <row r="42" spans="2:8" x14ac:dyDescent="0.25">
      <c r="B42" s="26">
        <v>39</v>
      </c>
      <c r="C42" s="52">
        <f t="shared" si="0"/>
        <v>0.17818419975534588</v>
      </c>
      <c r="D42" s="52">
        <f t="shared" si="1"/>
        <v>0.12256174642203793</v>
      </c>
      <c r="E42" s="48">
        <f t="shared" si="2"/>
        <v>-5.5622453333307953E-2</v>
      </c>
      <c r="F42" s="48">
        <f t="shared" si="3"/>
        <v>-1.4451137282239039E-4</v>
      </c>
      <c r="G42" s="48">
        <f t="shared" si="4"/>
        <v>0.17803968838252349</v>
      </c>
      <c r="H42" s="30">
        <f t="shared" si="5"/>
        <v>0</v>
      </c>
    </row>
    <row r="43" spans="2:8" x14ac:dyDescent="0.25">
      <c r="B43" s="26">
        <v>40</v>
      </c>
      <c r="C43" s="52">
        <f t="shared" si="0"/>
        <v>0.14805460867942424</v>
      </c>
      <c r="D43" s="52">
        <f t="shared" si="1"/>
        <v>0.10865726471480185</v>
      </c>
      <c r="E43" s="48">
        <f t="shared" si="2"/>
        <v>-3.9397343964622397E-2</v>
      </c>
      <c r="F43" s="48">
        <f t="shared" si="3"/>
        <v>-1.0235730214499882E-4</v>
      </c>
      <c r="G43" s="48">
        <f t="shared" si="4"/>
        <v>0.14795225137727924</v>
      </c>
      <c r="H43" s="30">
        <f t="shared" si="5"/>
        <v>0</v>
      </c>
    </row>
    <row r="44" spans="2:8" x14ac:dyDescent="0.25">
      <c r="B44" s="26">
        <v>41</v>
      </c>
      <c r="C44" s="52">
        <f t="shared" si="0"/>
        <v>0.41594580564321404</v>
      </c>
      <c r="D44" s="52">
        <f t="shared" si="1"/>
        <v>0.37579029347140652</v>
      </c>
      <c r="E44" s="48">
        <f t="shared" si="2"/>
        <v>-4.0155512171807517E-2</v>
      </c>
      <c r="F44" s="48">
        <f t="shared" si="3"/>
        <v>-1.0432708092829105E-4</v>
      </c>
      <c r="G44" s="48">
        <f t="shared" si="4"/>
        <v>0.41584147856228576</v>
      </c>
      <c r="H44" s="30">
        <f t="shared" si="5"/>
        <v>0</v>
      </c>
    </row>
    <row r="45" spans="2:8" x14ac:dyDescent="0.25">
      <c r="B45" s="26">
        <v>42</v>
      </c>
      <c r="C45" s="52">
        <f t="shared" si="0"/>
        <v>0.14805460867942424</v>
      </c>
      <c r="D45" s="52">
        <f t="shared" si="1"/>
        <v>0.10865726471480185</v>
      </c>
      <c r="E45" s="48">
        <f t="shared" si="2"/>
        <v>-3.9397343964622397E-2</v>
      </c>
      <c r="F45" s="48">
        <f t="shared" si="3"/>
        <v>-1.0235730214499882E-4</v>
      </c>
      <c r="G45" s="48">
        <f t="shared" si="4"/>
        <v>0.14795225137727924</v>
      </c>
      <c r="H45" s="30">
        <f t="shared" si="5"/>
        <v>0</v>
      </c>
    </row>
    <row r="46" spans="2:8" x14ac:dyDescent="0.25">
      <c r="B46" s="26">
        <v>43</v>
      </c>
      <c r="C46" s="52">
        <f t="shared" si="0"/>
        <v>0.24818871965708805</v>
      </c>
      <c r="D46" s="52">
        <f t="shared" si="1"/>
        <v>0.22308863199724832</v>
      </c>
      <c r="E46" s="48">
        <f t="shared" si="2"/>
        <v>-2.5100087659839732E-2</v>
      </c>
      <c r="F46" s="48">
        <f t="shared" si="3"/>
        <v>-6.5211940651918414E-5</v>
      </c>
      <c r="G46" s="48">
        <f t="shared" si="4"/>
        <v>0.24812350771643613</v>
      </c>
      <c r="H46" s="30">
        <f t="shared" si="5"/>
        <v>0</v>
      </c>
    </row>
    <row r="47" spans="2:8" x14ac:dyDescent="0.25">
      <c r="B47" s="26">
        <v>44</v>
      </c>
      <c r="C47" s="52">
        <f t="shared" si="0"/>
        <v>0.14805460867942424</v>
      </c>
      <c r="D47" s="52">
        <f t="shared" si="1"/>
        <v>0.10865726471480185</v>
      </c>
      <c r="E47" s="48">
        <f t="shared" si="2"/>
        <v>-3.9397343964622397E-2</v>
      </c>
      <c r="F47" s="48">
        <f t="shared" si="3"/>
        <v>-1.0235730214499882E-4</v>
      </c>
      <c r="G47" s="48">
        <f t="shared" si="4"/>
        <v>0.14795225137727924</v>
      </c>
      <c r="H47" s="30">
        <f t="shared" si="5"/>
        <v>0</v>
      </c>
    </row>
    <row r="48" spans="2:8" x14ac:dyDescent="0.25">
      <c r="B48" s="26">
        <v>45</v>
      </c>
      <c r="C48" s="52">
        <f t="shared" si="0"/>
        <v>0.14808361462956454</v>
      </c>
      <c r="D48" s="52">
        <f t="shared" si="1"/>
        <v>0.10867252849450271</v>
      </c>
      <c r="E48" s="48">
        <f t="shared" si="2"/>
        <v>-3.9411086135061835E-2</v>
      </c>
      <c r="F48" s="48">
        <f t="shared" si="3"/>
        <v>-1.0239300535110989E-4</v>
      </c>
      <c r="G48" s="48">
        <f t="shared" si="4"/>
        <v>0.14798122162421343</v>
      </c>
      <c r="H48" s="30">
        <f t="shared" si="5"/>
        <v>0</v>
      </c>
    </row>
    <row r="49" spans="1:21" x14ac:dyDescent="0.25">
      <c r="B49" s="26">
        <v>46</v>
      </c>
      <c r="C49" s="52">
        <f t="shared" si="0"/>
        <v>0.14805460867942424</v>
      </c>
      <c r="D49" s="52">
        <f t="shared" si="1"/>
        <v>0.10865726471480185</v>
      </c>
      <c r="E49" s="48">
        <f t="shared" si="2"/>
        <v>-3.9397343964622397E-2</v>
      </c>
      <c r="F49" s="48">
        <f t="shared" si="3"/>
        <v>-1.0235730214499882E-4</v>
      </c>
      <c r="G49" s="48">
        <f t="shared" si="4"/>
        <v>0.14795225137727924</v>
      </c>
      <c r="H49" s="30">
        <f t="shared" si="5"/>
        <v>0</v>
      </c>
    </row>
    <row r="50" spans="1:21" x14ac:dyDescent="0.25">
      <c r="B50" s="26">
        <v>47</v>
      </c>
      <c r="C50" s="52">
        <f t="shared" si="0"/>
        <v>0.2786885915405366</v>
      </c>
      <c r="D50" s="52">
        <f t="shared" si="1"/>
        <v>0.26697263616116279</v>
      </c>
      <c r="E50" s="48">
        <f t="shared" si="2"/>
        <v>-1.171595537937381E-2</v>
      </c>
      <c r="F50" s="48">
        <f t="shared" si="3"/>
        <v>-3.043894496443076E-5</v>
      </c>
      <c r="G50" s="48">
        <f t="shared" si="4"/>
        <v>0.27865815259557219</v>
      </c>
      <c r="H50" s="30">
        <f t="shared" si="5"/>
        <v>0</v>
      </c>
    </row>
    <row r="51" spans="1:21" x14ac:dyDescent="0.25">
      <c r="B51" s="26">
        <v>48</v>
      </c>
      <c r="C51" s="52">
        <f t="shared" si="0"/>
        <v>0.14805460867942424</v>
      </c>
      <c r="D51" s="52">
        <f t="shared" si="1"/>
        <v>0.10865726471480185</v>
      </c>
      <c r="E51" s="48">
        <f t="shared" si="2"/>
        <v>-3.9397343964622397E-2</v>
      </c>
      <c r="F51" s="48">
        <f t="shared" si="3"/>
        <v>-1.0235730214499882E-4</v>
      </c>
      <c r="G51" s="48">
        <f t="shared" si="4"/>
        <v>0.14795225137727924</v>
      </c>
      <c r="H51" s="30">
        <f t="shared" si="5"/>
        <v>0</v>
      </c>
    </row>
    <row r="52" spans="1:21" x14ac:dyDescent="0.25">
      <c r="B52" s="26">
        <v>49</v>
      </c>
      <c r="C52" s="52">
        <f t="shared" si="0"/>
        <v>0.18022284651166184</v>
      </c>
      <c r="D52" s="52">
        <f t="shared" si="1"/>
        <v>0.15241194609444156</v>
      </c>
      <c r="E52" s="48">
        <f t="shared" si="2"/>
        <v>-2.7810900417220286E-2</v>
      </c>
      <c r="F52" s="48">
        <f t="shared" si="3"/>
        <v>-7.2254838790302559E-5</v>
      </c>
      <c r="G52" s="48">
        <f t="shared" si="4"/>
        <v>0.18015059167287154</v>
      </c>
      <c r="H52" s="30">
        <f t="shared" si="5"/>
        <v>0</v>
      </c>
    </row>
    <row r="53" spans="1:21" x14ac:dyDescent="0.25">
      <c r="B53" s="26">
        <v>50</v>
      </c>
      <c r="C53" s="52">
        <f t="shared" si="0"/>
        <v>0.14805460867942424</v>
      </c>
      <c r="D53" s="52">
        <f t="shared" si="1"/>
        <v>0.10865726471480185</v>
      </c>
      <c r="E53" s="48">
        <f t="shared" si="2"/>
        <v>-3.9397343964622397E-2</v>
      </c>
      <c r="F53" s="48">
        <f t="shared" si="3"/>
        <v>-1.0235730214499882E-4</v>
      </c>
      <c r="G53" s="48">
        <f t="shared" si="4"/>
        <v>0.14795225137727924</v>
      </c>
      <c r="H53" s="30">
        <f t="shared" si="5"/>
        <v>0</v>
      </c>
    </row>
    <row r="54" spans="1:21" x14ac:dyDescent="0.25">
      <c r="C54" s="41"/>
      <c r="D54" s="41"/>
      <c r="E54" s="32"/>
      <c r="F54" s="32"/>
    </row>
    <row r="55" spans="1:21" x14ac:dyDescent="0.25">
      <c r="F55" s="26" t="s">
        <v>85</v>
      </c>
      <c r="G55" s="29">
        <f>IF(H4=0,0,100*H55/H4)</f>
        <v>0</v>
      </c>
      <c r="H55" s="29">
        <f>SQRT(SUMSQ(H5:H53))</f>
        <v>0</v>
      </c>
      <c r="I55" s="26" t="s">
        <v>52</v>
      </c>
    </row>
    <row r="56" spans="1:21" x14ac:dyDescent="0.25">
      <c r="F56" s="26" t="s">
        <v>86</v>
      </c>
      <c r="G56" s="29">
        <f>SQRT(SUMSQ(G4:G53))</f>
        <v>106.47368257529975</v>
      </c>
      <c r="H56" s="29">
        <f>SQRT(SUMSQ(H4:H53))</f>
        <v>0</v>
      </c>
      <c r="I56" s="26" t="s">
        <v>54</v>
      </c>
    </row>
    <row r="57" spans="1:21" x14ac:dyDescent="0.25">
      <c r="G57" s="26" t="s">
        <v>87</v>
      </c>
      <c r="H57" s="26" t="s">
        <v>13</v>
      </c>
    </row>
    <row r="59" spans="1:21" x14ac:dyDescent="0.25">
      <c r="A59" s="25" t="s">
        <v>63</v>
      </c>
      <c r="C59" s="36"/>
      <c r="D59" s="36"/>
      <c r="E59" s="36"/>
      <c r="F59" s="36"/>
      <c r="G59" s="36"/>
      <c r="H59" s="36"/>
      <c r="I59" s="36"/>
      <c r="J59" s="36"/>
      <c r="K59" s="36"/>
      <c r="L59" s="36"/>
      <c r="M59" s="36"/>
      <c r="N59" s="36"/>
      <c r="O59" s="36"/>
      <c r="P59" s="36"/>
      <c r="Q59" s="36"/>
      <c r="R59" s="36"/>
      <c r="S59" s="36"/>
    </row>
    <row r="60" spans="1:21" ht="14.4" x14ac:dyDescent="0.3">
      <c r="C60" s="1" t="s">
        <v>478</v>
      </c>
      <c r="D60" s="7">
        <f>100/D62</f>
        <v>1000</v>
      </c>
      <c r="E60" s="7">
        <f t="shared" ref="E60:U60" si="6">100/E62</f>
        <v>200</v>
      </c>
      <c r="F60" s="7">
        <f t="shared" si="6"/>
        <v>100</v>
      </c>
      <c r="G60" s="7">
        <f t="shared" si="6"/>
        <v>50</v>
      </c>
      <c r="H60" s="7">
        <f t="shared" si="6"/>
        <v>33.333333333333336</v>
      </c>
      <c r="I60" s="7">
        <f t="shared" si="6"/>
        <v>25</v>
      </c>
      <c r="J60" s="7">
        <f t="shared" si="6"/>
        <v>20</v>
      </c>
      <c r="K60" s="7">
        <f t="shared" si="6"/>
        <v>16.666666666666668</v>
      </c>
      <c r="L60" s="7">
        <f t="shared" si="6"/>
        <v>14.285714285714286</v>
      </c>
      <c r="M60" s="7">
        <f t="shared" si="6"/>
        <v>12.5</v>
      </c>
      <c r="N60" s="7">
        <f t="shared" si="6"/>
        <v>10</v>
      </c>
      <c r="O60" s="7">
        <f t="shared" si="6"/>
        <v>8.3333333333333339</v>
      </c>
      <c r="P60" s="7">
        <f t="shared" si="6"/>
        <v>7.1428571428571432</v>
      </c>
      <c r="Q60" s="7">
        <f t="shared" si="6"/>
        <v>5.5555555555555554</v>
      </c>
      <c r="R60" s="7">
        <f t="shared" si="6"/>
        <v>4.7619047619047619</v>
      </c>
      <c r="S60" s="7">
        <f t="shared" si="6"/>
        <v>1</v>
      </c>
      <c r="T60" s="7">
        <f t="shared" si="6"/>
        <v>0.1</v>
      </c>
      <c r="U60" s="7">
        <f t="shared" si="6"/>
        <v>0.01</v>
      </c>
    </row>
    <row r="61" spans="1:21" ht="14.4" x14ac:dyDescent="0.3">
      <c r="C61" s="1" t="s">
        <v>64</v>
      </c>
      <c r="D61">
        <v>0</v>
      </c>
      <c r="E61">
        <v>1</v>
      </c>
      <c r="F61">
        <v>2</v>
      </c>
      <c r="G61">
        <v>3</v>
      </c>
      <c r="H61">
        <v>4</v>
      </c>
      <c r="I61">
        <v>5</v>
      </c>
      <c r="J61">
        <v>6</v>
      </c>
      <c r="K61">
        <v>7</v>
      </c>
      <c r="L61">
        <v>8</v>
      </c>
      <c r="M61">
        <v>9</v>
      </c>
      <c r="N61">
        <v>10</v>
      </c>
      <c r="O61">
        <v>11</v>
      </c>
      <c r="P61">
        <v>12</v>
      </c>
      <c r="Q61">
        <v>13</v>
      </c>
      <c r="R61">
        <v>14</v>
      </c>
      <c r="S61">
        <v>15</v>
      </c>
      <c r="T61">
        <v>16</v>
      </c>
      <c r="U61">
        <v>17</v>
      </c>
    </row>
    <row r="62" spans="1:21" ht="14.4" x14ac:dyDescent="0.3">
      <c r="A62" s="26" t="s">
        <v>65</v>
      </c>
      <c r="B62" s="54"/>
      <c r="C62" s="216" t="s">
        <v>1</v>
      </c>
      <c r="D62" s="296">
        <v>0.1</v>
      </c>
      <c r="E62" s="296">
        <v>0.5</v>
      </c>
      <c r="F62" s="296">
        <v>1</v>
      </c>
      <c r="G62" s="296">
        <v>2</v>
      </c>
      <c r="H62" s="296">
        <v>3</v>
      </c>
      <c r="I62" s="296">
        <v>4</v>
      </c>
      <c r="J62" s="296">
        <v>5</v>
      </c>
      <c r="K62" s="296">
        <v>6</v>
      </c>
      <c r="L62" s="296">
        <v>7</v>
      </c>
      <c r="M62" s="296">
        <v>8</v>
      </c>
      <c r="N62" s="296">
        <v>10</v>
      </c>
      <c r="O62" s="296">
        <v>12</v>
      </c>
      <c r="P62" s="296">
        <v>14</v>
      </c>
      <c r="Q62" s="296">
        <v>18</v>
      </c>
      <c r="R62" s="296">
        <v>21</v>
      </c>
      <c r="S62" s="296">
        <v>100</v>
      </c>
      <c r="T62" s="296">
        <v>1000</v>
      </c>
      <c r="U62" s="296">
        <v>10000</v>
      </c>
    </row>
    <row r="63" spans="1:21" ht="14.4" x14ac:dyDescent="0.3">
      <c r="A63" s="31"/>
      <c r="C63" s="1" t="s">
        <v>64</v>
      </c>
      <c r="D63">
        <v>0</v>
      </c>
      <c r="E63">
        <v>1</v>
      </c>
      <c r="F63">
        <v>2</v>
      </c>
      <c r="G63">
        <v>3</v>
      </c>
      <c r="H63">
        <v>4</v>
      </c>
      <c r="I63">
        <v>5</v>
      </c>
      <c r="J63">
        <v>6</v>
      </c>
      <c r="K63">
        <v>7</v>
      </c>
      <c r="L63">
        <v>8</v>
      </c>
      <c r="M63">
        <v>9</v>
      </c>
      <c r="N63">
        <v>10</v>
      </c>
      <c r="O63">
        <v>11</v>
      </c>
      <c r="P63">
        <v>12</v>
      </c>
      <c r="Q63">
        <v>13</v>
      </c>
      <c r="R63">
        <v>14</v>
      </c>
      <c r="S63">
        <v>15</v>
      </c>
      <c r="T63">
        <v>16</v>
      </c>
      <c r="U63">
        <v>17</v>
      </c>
    </row>
    <row r="64" spans="1:21" ht="14.4" x14ac:dyDescent="0.3">
      <c r="A64" s="43">
        <v>2</v>
      </c>
      <c r="B64" s="43"/>
      <c r="C64" s="1"/>
      <c r="D64" s="298">
        <v>1.7291324964220301E-2</v>
      </c>
      <c r="E64" s="298">
        <v>6.6998018440489568E-2</v>
      </c>
      <c r="F64" s="298">
        <v>0.12416560747379798</v>
      </c>
      <c r="G64" s="298">
        <v>0.19164678959143519</v>
      </c>
      <c r="H64" s="298">
        <v>3.2432337711389723E-2</v>
      </c>
      <c r="I64" s="298">
        <v>2.6794917304969575E-2</v>
      </c>
      <c r="J64" s="298">
        <v>1.0787351058726545E-2</v>
      </c>
      <c r="K64" s="298">
        <v>1.5488830696511377E-2</v>
      </c>
      <c r="L64" s="298">
        <v>1.1120918013740941E-2</v>
      </c>
      <c r="M64" s="298">
        <v>1.2571907703050382E-2</v>
      </c>
      <c r="N64" s="298">
        <v>2.636287592484499E-2</v>
      </c>
      <c r="O64" s="298">
        <v>3.9068771982494086E-3</v>
      </c>
      <c r="P64" s="298">
        <v>1.783236037225493E-2</v>
      </c>
      <c r="Q64" s="298">
        <v>6.5715038062707058E-3</v>
      </c>
      <c r="R64" s="298">
        <v>5.7146036546192576E-3</v>
      </c>
      <c r="S64" s="298">
        <v>5.7146036546192576E-3</v>
      </c>
      <c r="T64" s="298">
        <v>5.7146036546192576E-3</v>
      </c>
      <c r="U64" s="298">
        <v>5.7146036546192576E-3</v>
      </c>
    </row>
    <row r="65" spans="1:21" ht="14.4" x14ac:dyDescent="0.3">
      <c r="A65" s="43">
        <v>3</v>
      </c>
      <c r="B65" s="43"/>
      <c r="C65" s="1"/>
      <c r="D65" s="298">
        <v>0.55385104430828935</v>
      </c>
      <c r="E65" s="298">
        <v>8.5473774716319078</v>
      </c>
      <c r="F65" s="298">
        <v>4.3857615521600959</v>
      </c>
      <c r="G65" s="298">
        <v>4.8916763402676038</v>
      </c>
      <c r="H65" s="298">
        <v>5.107248510230364</v>
      </c>
      <c r="I65" s="298">
        <v>6.2072885442798249</v>
      </c>
      <c r="J65" s="298">
        <v>7.7608557639223745</v>
      </c>
      <c r="K65" s="298">
        <v>5.1365577880102951</v>
      </c>
      <c r="L65" s="298">
        <v>3.7115343236794409</v>
      </c>
      <c r="M65" s="298">
        <v>2.8652501742303245</v>
      </c>
      <c r="N65" s="298">
        <v>1.976424393859703</v>
      </c>
      <c r="O65" s="298">
        <v>1.512989131711088</v>
      </c>
      <c r="P65" s="298">
        <v>1.2479844012146544</v>
      </c>
      <c r="Q65" s="298">
        <v>0.90186138282906037</v>
      </c>
      <c r="R65" s="298">
        <v>0.8611207071065603</v>
      </c>
      <c r="S65" s="298">
        <v>0.8611207071065603</v>
      </c>
      <c r="T65" s="298">
        <v>0.8611207071065603</v>
      </c>
      <c r="U65" s="298">
        <v>0.8611207071065603</v>
      </c>
    </row>
    <row r="66" spans="1:21" ht="14.4" x14ac:dyDescent="0.3">
      <c r="A66" s="43">
        <v>4</v>
      </c>
      <c r="B66" s="43"/>
      <c r="C66" s="1"/>
      <c r="D66" s="298">
        <v>0.13520250276733159</v>
      </c>
      <c r="E66" s="298">
        <v>2.8695360144102396E-2</v>
      </c>
      <c r="F66" s="298">
        <v>0.11237654569855723</v>
      </c>
      <c r="G66" s="298">
        <v>0.1270693443534559</v>
      </c>
      <c r="H66" s="298">
        <v>2.9673650735424224E-2</v>
      </c>
      <c r="I66" s="298">
        <v>2.1212221057019379E-2</v>
      </c>
      <c r="J66" s="298">
        <v>1.8916758051922035E-2</v>
      </c>
      <c r="K66" s="298">
        <v>2.4591818946340816E-2</v>
      </c>
      <c r="L66" s="298">
        <v>2.2309871990685983E-2</v>
      </c>
      <c r="M66" s="298">
        <v>1.4672119245636975E-2</v>
      </c>
      <c r="N66" s="298">
        <v>3.4977738354405041E-3</v>
      </c>
      <c r="O66" s="298">
        <v>3.318391374383355E-3</v>
      </c>
      <c r="P66" s="298">
        <v>1.8380050856337499E-2</v>
      </c>
      <c r="Q66" s="298">
        <v>5.7240454854559945E-3</v>
      </c>
      <c r="R66" s="298">
        <v>1.5847873572736098E-3</v>
      </c>
      <c r="S66" s="298">
        <v>1.5847873572736098E-3</v>
      </c>
      <c r="T66" s="298">
        <v>1.5847873572736098E-3</v>
      </c>
      <c r="U66" s="298">
        <v>1.5847873572736098E-3</v>
      </c>
    </row>
    <row r="67" spans="1:21" ht="14.4" x14ac:dyDescent="0.3">
      <c r="A67" s="43">
        <v>5</v>
      </c>
      <c r="B67" s="43"/>
      <c r="C67" s="1"/>
      <c r="D67" s="298">
        <v>93.368748010282204</v>
      </c>
      <c r="E67" s="298">
        <v>82.87682728374898</v>
      </c>
      <c r="F67" s="298">
        <v>73.247221838386295</v>
      </c>
      <c r="G67" s="298">
        <v>60.831459052554194</v>
      </c>
      <c r="H67" s="298">
        <v>49.382828970020235</v>
      </c>
      <c r="I67" s="298">
        <v>41.72752692184784</v>
      </c>
      <c r="J67" s="298">
        <v>37.27946499417164</v>
      </c>
      <c r="K67" s="298">
        <v>34.240442443062605</v>
      </c>
      <c r="L67" s="298">
        <v>31.801834469310585</v>
      </c>
      <c r="M67" s="298">
        <v>29.833911528390878</v>
      </c>
      <c r="N67" s="298">
        <v>26.829447444032468</v>
      </c>
      <c r="O67" s="298">
        <v>24.524377947577921</v>
      </c>
      <c r="P67" s="298">
        <v>22.666145948519805</v>
      </c>
      <c r="Q67" s="298">
        <v>19.683481307529799</v>
      </c>
      <c r="R67" s="298">
        <v>19.55420880107971</v>
      </c>
      <c r="S67" s="298">
        <v>19.55420880107971</v>
      </c>
      <c r="T67" s="298">
        <v>19.55420880107971</v>
      </c>
      <c r="U67" s="298">
        <v>19.55420880107971</v>
      </c>
    </row>
    <row r="68" spans="1:21" ht="14.4" x14ac:dyDescent="0.3">
      <c r="A68" s="43">
        <v>6</v>
      </c>
      <c r="B68" s="43"/>
      <c r="C68" s="1"/>
      <c r="D68" s="298">
        <v>6.8818496078623531E-2</v>
      </c>
      <c r="E68" s="298">
        <v>5.2936191485114158E-2</v>
      </c>
      <c r="F68" s="298">
        <v>7.0102641631974985E-3</v>
      </c>
      <c r="G68" s="298">
        <v>1.1862351899176933E-2</v>
      </c>
      <c r="H68" s="298">
        <v>1.9222702695116914E-3</v>
      </c>
      <c r="I68" s="298">
        <v>1.1087146410300954E-2</v>
      </c>
      <c r="J68" s="298">
        <v>6.7285132893848583E-3</v>
      </c>
      <c r="K68" s="298">
        <v>4.5194792975590103E-3</v>
      </c>
      <c r="L68" s="298">
        <v>6.0169639857389576E-3</v>
      </c>
      <c r="M68" s="298">
        <v>7.3330327729595772E-3</v>
      </c>
      <c r="N68" s="298">
        <v>4.9368015428742544E-3</v>
      </c>
      <c r="O68" s="298">
        <v>2.1005572354824645E-3</v>
      </c>
      <c r="P68" s="298">
        <v>9.2816222816082712E-3</v>
      </c>
      <c r="Q68" s="298">
        <v>3.8021989595571734E-3</v>
      </c>
      <c r="R68" s="298">
        <v>2.6949365909897677E-3</v>
      </c>
      <c r="S68" s="298">
        <v>2.6949365909897677E-3</v>
      </c>
      <c r="T68" s="298">
        <v>2.6949365909897677E-3</v>
      </c>
      <c r="U68" s="298">
        <v>2.6949365909897677E-3</v>
      </c>
    </row>
    <row r="69" spans="1:21" ht="14.4" x14ac:dyDescent="0.3">
      <c r="A69" s="43">
        <v>7</v>
      </c>
      <c r="B69" s="43"/>
      <c r="C69" s="1"/>
      <c r="D69" s="298">
        <v>85.792929223620419</v>
      </c>
      <c r="E69" s="298">
        <v>65.67536665068971</v>
      </c>
      <c r="F69" s="298">
        <v>52.471101352240538</v>
      </c>
      <c r="G69" s="298">
        <v>34.473926081721721</v>
      </c>
      <c r="H69" s="298">
        <v>20.70483242585701</v>
      </c>
      <c r="I69" s="298">
        <v>13.8859457017344</v>
      </c>
      <c r="J69" s="298">
        <v>10.407370469722119</v>
      </c>
      <c r="K69" s="298">
        <v>8.4234250472584673</v>
      </c>
      <c r="L69" s="298">
        <v>7.3447486655802345</v>
      </c>
      <c r="M69" s="298">
        <v>6.8022663683683335</v>
      </c>
      <c r="N69" s="298">
        <v>6.5166708279323533</v>
      </c>
      <c r="O69" s="298">
        <v>6.6273860488121423</v>
      </c>
      <c r="P69" s="298">
        <v>6.8022403042729351</v>
      </c>
      <c r="Q69" s="298">
        <v>6.987229811341364</v>
      </c>
      <c r="R69" s="298">
        <v>7.326010337515557</v>
      </c>
      <c r="S69" s="298">
        <v>7.326010337515557</v>
      </c>
      <c r="T69" s="298">
        <v>7.326010337515557</v>
      </c>
      <c r="U69" s="298">
        <v>7.326010337515557</v>
      </c>
    </row>
    <row r="70" spans="1:21" ht="14.4" x14ac:dyDescent="0.3">
      <c r="A70" s="43">
        <v>8</v>
      </c>
      <c r="B70" s="43"/>
      <c r="C70" s="1"/>
      <c r="D70" s="298">
        <v>0.15207091572872264</v>
      </c>
      <c r="E70" s="298">
        <v>5.2891824469196221E-2</v>
      </c>
      <c r="F70" s="298">
        <v>5.7040082585237739E-2</v>
      </c>
      <c r="G70" s="298">
        <v>1.9116049168177565E-2</v>
      </c>
      <c r="H70" s="298">
        <v>2.3564987660073828E-2</v>
      </c>
      <c r="I70" s="298">
        <v>8.5355102461392024E-3</v>
      </c>
      <c r="J70" s="298">
        <v>1.9603945043945102E-2</v>
      </c>
      <c r="K70" s="298">
        <v>1.2636657164619786E-2</v>
      </c>
      <c r="L70" s="298">
        <v>1.0643351525778579E-2</v>
      </c>
      <c r="M70" s="298">
        <v>4.3473848598230228E-3</v>
      </c>
      <c r="N70" s="298">
        <v>2.5415807506222721E-3</v>
      </c>
      <c r="O70" s="298">
        <v>1.2216655309818655E-3</v>
      </c>
      <c r="P70" s="298">
        <v>6.4595461603830819E-3</v>
      </c>
      <c r="Q70" s="298">
        <v>1.3983813924981661E-3</v>
      </c>
      <c r="R70" s="298">
        <v>3.4056178014729927E-3</v>
      </c>
      <c r="S70" s="298">
        <v>3.4056178014729927E-3</v>
      </c>
      <c r="T70" s="298">
        <v>3.4056178014729927E-3</v>
      </c>
      <c r="U70" s="298">
        <v>3.4056178014729927E-3</v>
      </c>
    </row>
    <row r="71" spans="1:21" ht="14.4" x14ac:dyDescent="0.3">
      <c r="A71" s="43">
        <v>9</v>
      </c>
      <c r="B71" s="43"/>
      <c r="C71" s="1"/>
      <c r="D71" s="298">
        <v>1.154353524821659</v>
      </c>
      <c r="E71" s="298">
        <v>3.5914593530271834</v>
      </c>
      <c r="F71" s="298">
        <v>0.66156600737101889</v>
      </c>
      <c r="G71" s="298">
        <v>0.60368769264829547</v>
      </c>
      <c r="H71" s="298">
        <v>0.42447764331950832</v>
      </c>
      <c r="I71" s="298">
        <v>1.0648962156533353</v>
      </c>
      <c r="J71" s="298">
        <v>1.5532650518305111</v>
      </c>
      <c r="K71" s="298">
        <v>0.98716445545758624</v>
      </c>
      <c r="L71" s="298">
        <v>0.68104076968532634</v>
      </c>
      <c r="M71" s="298">
        <v>0.50610374236669098</v>
      </c>
      <c r="N71" s="298">
        <v>0.31868142208094846</v>
      </c>
      <c r="O71" s="298">
        <v>0.22626624756676589</v>
      </c>
      <c r="P71" s="298">
        <v>0.1789795622711387</v>
      </c>
      <c r="Q71" s="298">
        <v>0.13966052871548112</v>
      </c>
      <c r="R71" s="298">
        <v>0.13247290047204982</v>
      </c>
      <c r="S71" s="298">
        <v>0.13247290047204982</v>
      </c>
      <c r="T71" s="298">
        <v>0.13247290047204982</v>
      </c>
      <c r="U71" s="298">
        <v>0.13247290047204982</v>
      </c>
    </row>
    <row r="72" spans="1:21" ht="14.4" x14ac:dyDescent="0.3">
      <c r="A72" s="43">
        <v>10</v>
      </c>
      <c r="B72" s="43"/>
      <c r="C72" s="1"/>
      <c r="D72" s="298">
        <v>0.2294007148283545</v>
      </c>
      <c r="E72" s="298">
        <v>4.67408371331944E-2</v>
      </c>
      <c r="F72" s="298">
        <v>3.9171017790739594E-2</v>
      </c>
      <c r="G72" s="298">
        <v>3.1896110289054799E-2</v>
      </c>
      <c r="H72" s="298">
        <v>9.7072760067846587E-3</v>
      </c>
      <c r="I72" s="298">
        <v>1.3760275349404955E-2</v>
      </c>
      <c r="J72" s="298">
        <v>1.2351163020258928E-2</v>
      </c>
      <c r="K72" s="298">
        <v>7.8770677291336265E-3</v>
      </c>
      <c r="L72" s="298">
        <v>6.6241460677741474E-3</v>
      </c>
      <c r="M72" s="298">
        <v>9.5446111698385379E-4</v>
      </c>
      <c r="N72" s="298">
        <v>5.9000829249238182E-3</v>
      </c>
      <c r="O72" s="298">
        <v>2.8410236973985879E-3</v>
      </c>
      <c r="P72" s="298">
        <v>3.0933034144878684E-3</v>
      </c>
      <c r="Q72" s="298">
        <v>1.7024651539385351E-3</v>
      </c>
      <c r="R72" s="298">
        <v>3.8405411483555876E-3</v>
      </c>
      <c r="S72" s="298">
        <v>3.8405411483555876E-3</v>
      </c>
      <c r="T72" s="298">
        <v>3.8405411483555876E-3</v>
      </c>
      <c r="U72" s="298">
        <v>3.8405411483555876E-3</v>
      </c>
    </row>
    <row r="73" spans="1:21" ht="14.4" x14ac:dyDescent="0.3">
      <c r="A73" s="43">
        <v>11</v>
      </c>
      <c r="B73" s="43"/>
      <c r="C73" s="1"/>
      <c r="D73" s="298">
        <v>69.048567707776243</v>
      </c>
      <c r="E73" s="298">
        <v>33.685348584817774</v>
      </c>
      <c r="F73" s="298">
        <v>15.583787301158949</v>
      </c>
      <c r="G73" s="298">
        <v>6.5636008603412694</v>
      </c>
      <c r="H73" s="298">
        <v>7.6797975872700235</v>
      </c>
      <c r="I73" s="298">
        <v>7.4570840283088478</v>
      </c>
      <c r="J73" s="298">
        <v>6.9055670232180777</v>
      </c>
      <c r="K73" s="298">
        <v>6.5341193000171698</v>
      </c>
      <c r="L73" s="298">
        <v>6.0786150094839924</v>
      </c>
      <c r="M73" s="298">
        <v>5.6151234987755405</v>
      </c>
      <c r="N73" s="298">
        <v>4.7731220793376856</v>
      </c>
      <c r="O73" s="298">
        <v>4.037747204995374</v>
      </c>
      <c r="P73" s="298">
        <v>3.4442053406397228</v>
      </c>
      <c r="Q73" s="298">
        <v>2.6571079286057731</v>
      </c>
      <c r="R73" s="298">
        <v>2.6319335627413896</v>
      </c>
      <c r="S73" s="298">
        <v>2.6319335627413896</v>
      </c>
      <c r="T73" s="298">
        <v>2.6319335627413896</v>
      </c>
      <c r="U73" s="298">
        <v>2.6319335627413896</v>
      </c>
    </row>
    <row r="74" spans="1:21" ht="14.4" x14ac:dyDescent="0.3">
      <c r="A74" s="43">
        <v>12</v>
      </c>
      <c r="B74" s="43"/>
      <c r="C74" s="1"/>
      <c r="D74" s="298">
        <v>4.3926126021925166E-2</v>
      </c>
      <c r="E74" s="298">
        <v>1.2877494467594758E-2</v>
      </c>
      <c r="F74" s="298">
        <v>4.5954157397374695E-3</v>
      </c>
      <c r="G74" s="298">
        <v>5.329225146697902E-3</v>
      </c>
      <c r="H74" s="298">
        <v>1.7455825337836627E-3</v>
      </c>
      <c r="I74" s="298">
        <v>6.1922252654432195E-3</v>
      </c>
      <c r="J74" s="298">
        <v>4.6340307760456886E-3</v>
      </c>
      <c r="K74" s="298">
        <v>1.2658928420938899E-3</v>
      </c>
      <c r="L74" s="298">
        <v>7.2345470714335765E-4</v>
      </c>
      <c r="M74" s="298">
        <v>2.8137542278655172E-3</v>
      </c>
      <c r="N74" s="298">
        <v>3.3387817150023614E-3</v>
      </c>
      <c r="O74" s="298">
        <v>7.0415228820549169E-4</v>
      </c>
      <c r="P74" s="298">
        <v>3.2866827675993235E-3</v>
      </c>
      <c r="Q74" s="298">
        <v>2.129932191298423E-3</v>
      </c>
      <c r="R74" s="298">
        <v>3.0726078205235829E-3</v>
      </c>
      <c r="S74" s="298">
        <v>3.0726078205235829E-3</v>
      </c>
      <c r="T74" s="298">
        <v>3.0726078205235829E-3</v>
      </c>
      <c r="U74" s="298">
        <v>3.0726078205235829E-3</v>
      </c>
    </row>
    <row r="75" spans="1:21" ht="14.4" x14ac:dyDescent="0.3">
      <c r="A75" s="43">
        <v>13</v>
      </c>
      <c r="B75" s="43"/>
      <c r="C75" s="1"/>
      <c r="D75" s="298">
        <v>57.626071680473594</v>
      </c>
      <c r="E75" s="298">
        <v>19.008833408591933</v>
      </c>
      <c r="F75" s="298">
        <v>6.0811074483745449</v>
      </c>
      <c r="G75" s="298">
        <v>6.4203508662030933</v>
      </c>
      <c r="H75" s="298">
        <v>4.053836065316168</v>
      </c>
      <c r="I75" s="298">
        <v>3.136813925533426</v>
      </c>
      <c r="J75" s="298">
        <v>3.2687886565984781</v>
      </c>
      <c r="K75" s="298">
        <v>3.1927019928471165</v>
      </c>
      <c r="L75" s="298">
        <v>3.1590323561450395</v>
      </c>
      <c r="M75" s="298">
        <v>3.1114405010378423</v>
      </c>
      <c r="N75" s="298">
        <v>2.9413990501469054</v>
      </c>
      <c r="O75" s="298">
        <v>2.6891381919916104</v>
      </c>
      <c r="P75" s="298">
        <v>2.4129113867682368</v>
      </c>
      <c r="Q75" s="298">
        <v>1.9019132140355048</v>
      </c>
      <c r="R75" s="298">
        <v>1.9731316672454773</v>
      </c>
      <c r="S75" s="298">
        <v>1.9731316672454773</v>
      </c>
      <c r="T75" s="298">
        <v>1.9731316672454773</v>
      </c>
      <c r="U75" s="298">
        <v>1.9731316672454773</v>
      </c>
    </row>
    <row r="76" spans="1:21" ht="14.4" x14ac:dyDescent="0.3">
      <c r="A76" s="43">
        <v>14</v>
      </c>
      <c r="B76" s="43"/>
      <c r="C76" s="1"/>
      <c r="D76" s="298">
        <v>0.20927403927484672</v>
      </c>
      <c r="E76" s="298">
        <v>5.5602611265487843E-2</v>
      </c>
      <c r="F76" s="298">
        <v>4.0150680983375708E-2</v>
      </c>
      <c r="G76" s="298">
        <v>1.1364022598705132E-2</v>
      </c>
      <c r="H76" s="298">
        <v>1.5808693433503308E-2</v>
      </c>
      <c r="I76" s="298">
        <v>1.1300571663228018E-2</v>
      </c>
      <c r="J76" s="298">
        <v>1.3986444352451872E-2</v>
      </c>
      <c r="K76" s="298">
        <v>1.3726550136797936E-2</v>
      </c>
      <c r="L76" s="298">
        <v>1.2922710779955417E-2</v>
      </c>
      <c r="M76" s="298">
        <v>6.7573395777536377E-3</v>
      </c>
      <c r="N76" s="298">
        <v>6.0541163970223889E-3</v>
      </c>
      <c r="O76" s="298">
        <v>8.8566143641728831E-4</v>
      </c>
      <c r="P76" s="298">
        <v>4.5856434142929501E-3</v>
      </c>
      <c r="Q76" s="298">
        <v>2.3769049086772155E-3</v>
      </c>
      <c r="R76" s="298">
        <v>2.1687917940923906E-3</v>
      </c>
      <c r="S76" s="298">
        <v>2.1687917940923906E-3</v>
      </c>
      <c r="T76" s="298">
        <v>2.1687917940923906E-3</v>
      </c>
      <c r="U76" s="298">
        <v>2.1687917940923906E-3</v>
      </c>
    </row>
    <row r="77" spans="1:21" ht="14.4" x14ac:dyDescent="0.3">
      <c r="A77" s="43">
        <v>15</v>
      </c>
      <c r="B77" s="43"/>
      <c r="C77" s="1"/>
      <c r="D77" s="298">
        <v>1.136851568371505</v>
      </c>
      <c r="E77" s="298">
        <v>0.23095610968918576</v>
      </c>
      <c r="F77" s="298">
        <v>0.45935010470309795</v>
      </c>
      <c r="G77" s="298">
        <v>0.33979479464125767</v>
      </c>
      <c r="H77" s="298">
        <v>0.19877874639876153</v>
      </c>
      <c r="I77" s="298">
        <v>0.6117370588990978</v>
      </c>
      <c r="J77" s="298">
        <v>0.7739736036483279</v>
      </c>
      <c r="K77" s="298">
        <v>0.47689818111624066</v>
      </c>
      <c r="L77" s="298">
        <v>0.32445444976062632</v>
      </c>
      <c r="M77" s="298">
        <v>0.24590737646040681</v>
      </c>
      <c r="N77" s="298">
        <v>0.17863761703347875</v>
      </c>
      <c r="O77" s="298">
        <v>0.15238590146764369</v>
      </c>
      <c r="P77" s="298">
        <v>0.13879587874692803</v>
      </c>
      <c r="Q77" s="298">
        <v>0.10849930149243135</v>
      </c>
      <c r="R77" s="298">
        <v>0.10438708261063094</v>
      </c>
      <c r="S77" s="298">
        <v>0.10438708261063094</v>
      </c>
      <c r="T77" s="298">
        <v>0.10438708261063094</v>
      </c>
      <c r="U77" s="298">
        <v>0.10438708261063094</v>
      </c>
    </row>
    <row r="78" spans="1:21" ht="14.4" x14ac:dyDescent="0.3">
      <c r="A78" s="43">
        <v>16</v>
      </c>
      <c r="B78" s="43"/>
      <c r="C78" s="1"/>
      <c r="D78" s="298">
        <v>0.21260480542905863</v>
      </c>
      <c r="E78" s="298">
        <v>5.5251059810874539E-2</v>
      </c>
      <c r="F78" s="298">
        <v>2.9549060045343564E-2</v>
      </c>
      <c r="G78" s="298">
        <v>1.9149260351853523E-2</v>
      </c>
      <c r="H78" s="298">
        <v>8.8894084206710914E-3</v>
      </c>
      <c r="I78" s="298">
        <v>9.8004503653837914E-3</v>
      </c>
      <c r="J78" s="298">
        <v>9.3355107602731344E-3</v>
      </c>
      <c r="K78" s="298">
        <v>1.1176506405604431E-2</v>
      </c>
      <c r="L78" s="298">
        <v>1.0797812516310075E-2</v>
      </c>
      <c r="M78" s="298">
        <v>4.9258459762198314E-3</v>
      </c>
      <c r="N78" s="298">
        <v>1.5412362332936629E-3</v>
      </c>
      <c r="O78" s="298">
        <v>1.7707278526791228E-3</v>
      </c>
      <c r="P78" s="298">
        <v>3.8905467511792919E-3</v>
      </c>
      <c r="Q78" s="298">
        <v>3.1270051788819786E-3</v>
      </c>
      <c r="R78" s="298">
        <v>2.7546885466757905E-3</v>
      </c>
      <c r="S78" s="298">
        <v>2.7546885466757905E-3</v>
      </c>
      <c r="T78" s="298">
        <v>2.7546885466757905E-3</v>
      </c>
      <c r="U78" s="298">
        <v>2.7546885466757905E-3</v>
      </c>
    </row>
    <row r="79" spans="1:21" ht="14.4" x14ac:dyDescent="0.3">
      <c r="A79" s="43">
        <v>17</v>
      </c>
      <c r="B79" s="43"/>
      <c r="C79" s="1"/>
      <c r="D79" s="299">
        <v>38.305868434141544</v>
      </c>
      <c r="E79" s="298">
        <v>5.2999903687276673</v>
      </c>
      <c r="F79" s="298">
        <v>6.2578007441416821</v>
      </c>
      <c r="G79" s="299">
        <v>3.651615692351549</v>
      </c>
      <c r="H79" s="299">
        <v>3.9361368606820331</v>
      </c>
      <c r="I79" s="299">
        <v>3.5365888642625669</v>
      </c>
      <c r="J79" s="298">
        <v>2.7954962272937816</v>
      </c>
      <c r="K79" s="298">
        <v>2.4617473384512585</v>
      </c>
      <c r="L79" s="298">
        <v>2.1281057585635259</v>
      </c>
      <c r="M79" s="298">
        <v>1.850567348179557</v>
      </c>
      <c r="N79" s="299">
        <v>1.5324828885585096</v>
      </c>
      <c r="O79" s="298">
        <v>1.4251739565426205</v>
      </c>
      <c r="P79" s="298">
        <v>1.4117622874341469</v>
      </c>
      <c r="Q79" s="298">
        <v>1.3485789449567889</v>
      </c>
      <c r="R79" s="298">
        <v>1.3516864824509252</v>
      </c>
      <c r="S79" s="298">
        <v>1.3516864824509252</v>
      </c>
      <c r="T79" s="298">
        <v>1.3516864824509252</v>
      </c>
      <c r="U79" s="298">
        <v>1.3516864824509252</v>
      </c>
    </row>
    <row r="80" spans="1:21" ht="14.4" x14ac:dyDescent="0.3">
      <c r="A80" s="43">
        <v>18</v>
      </c>
      <c r="B80" s="43"/>
      <c r="C80" s="1"/>
      <c r="D80" s="298">
        <v>6.8073317161051342E-3</v>
      </c>
      <c r="E80" s="298">
        <v>4.4855023970696963E-3</v>
      </c>
      <c r="F80" s="298">
        <v>3.7080452251308581E-3</v>
      </c>
      <c r="G80" s="298">
        <v>4.1891794258732719E-3</v>
      </c>
      <c r="H80" s="298">
        <v>2.5800652861531514E-3</v>
      </c>
      <c r="I80" s="298">
        <v>5.1323452366736095E-3</v>
      </c>
      <c r="J80" s="298">
        <v>3.2624660891922676E-3</v>
      </c>
      <c r="K80" s="298">
        <v>9.7248963017647263E-4</v>
      </c>
      <c r="L80" s="298">
        <v>5.3824967182370125E-4</v>
      </c>
      <c r="M80" s="298">
        <v>3.4207800467921257E-3</v>
      </c>
      <c r="N80" s="298">
        <v>2.3022193218101682E-3</v>
      </c>
      <c r="O80" s="298">
        <v>7.1766985210155283E-4</v>
      </c>
      <c r="P80" s="298">
        <v>1.6747979107749516E-3</v>
      </c>
      <c r="Q80" s="298">
        <v>1.0243399597807483E-3</v>
      </c>
      <c r="R80" s="298">
        <v>2.7645882744071495E-3</v>
      </c>
      <c r="S80" s="298">
        <v>2.7645882744071495E-3</v>
      </c>
      <c r="T80" s="298">
        <v>2.7645882744071495E-3</v>
      </c>
      <c r="U80" s="298">
        <v>2.7645882744071495E-3</v>
      </c>
    </row>
    <row r="81" spans="1:21" ht="14.4" x14ac:dyDescent="0.3">
      <c r="A81" s="43">
        <v>19</v>
      </c>
      <c r="B81" s="43"/>
      <c r="C81" s="1"/>
      <c r="D81" s="298">
        <v>28.12675018493254</v>
      </c>
      <c r="E81" s="298">
        <v>5.7694235730205383</v>
      </c>
      <c r="F81" s="298">
        <v>4.4923444139523241</v>
      </c>
      <c r="G81" s="298">
        <v>2.461818140179882</v>
      </c>
      <c r="H81" s="298">
        <v>1.5612033953483941</v>
      </c>
      <c r="I81" s="298">
        <v>1.435344927819425</v>
      </c>
      <c r="J81" s="298">
        <v>1.8152549557696753</v>
      </c>
      <c r="K81" s="298">
        <v>1.7533389509717254</v>
      </c>
      <c r="L81" s="298">
        <v>1.6441205577377018</v>
      </c>
      <c r="M81" s="298">
        <v>1.5015094716885002</v>
      </c>
      <c r="N81" s="298">
        <v>1.1978760529333901</v>
      </c>
      <c r="O81" s="298">
        <v>0.96493434637770215</v>
      </c>
      <c r="P81" s="298">
        <v>0.86230538911097832</v>
      </c>
      <c r="Q81" s="298">
        <v>0.87143134542122158</v>
      </c>
      <c r="R81" s="298">
        <v>0.89423887387252965</v>
      </c>
      <c r="S81" s="298">
        <v>0.89423887387252965</v>
      </c>
      <c r="T81" s="298">
        <v>0.89423887387252965</v>
      </c>
      <c r="U81" s="298">
        <v>0.89423887387252965</v>
      </c>
    </row>
    <row r="82" spans="1:21" ht="14.4" x14ac:dyDescent="0.3">
      <c r="A82" s="43">
        <v>20</v>
      </c>
      <c r="B82" s="43"/>
      <c r="C82" s="1"/>
      <c r="D82" s="298">
        <v>0.16228025606892954</v>
      </c>
      <c r="E82" s="298">
        <v>3.4304595434386999E-2</v>
      </c>
      <c r="F82" s="298">
        <v>3.603503131369204E-2</v>
      </c>
      <c r="G82" s="298">
        <v>1.3414457398225953E-2</v>
      </c>
      <c r="H82" s="298">
        <v>1.3820648138552563E-2</v>
      </c>
      <c r="I82" s="298">
        <v>1.2553645285502412E-2</v>
      </c>
      <c r="J82" s="298">
        <v>1.1519216055600136E-2</v>
      </c>
      <c r="K82" s="298">
        <v>1.2482583619361326E-2</v>
      </c>
      <c r="L82" s="298">
        <v>1.0659586926913772E-2</v>
      </c>
      <c r="M82" s="298">
        <v>3.9990621565117561E-3</v>
      </c>
      <c r="N82" s="298">
        <v>4.289924599988241E-3</v>
      </c>
      <c r="O82" s="298">
        <v>2.3631359410929234E-3</v>
      </c>
      <c r="P82" s="298">
        <v>2.0372139828744758E-3</v>
      </c>
      <c r="Q82" s="298">
        <v>2.6099379219788315E-3</v>
      </c>
      <c r="R82" s="298">
        <v>3.3164014470484933E-3</v>
      </c>
      <c r="S82" s="298">
        <v>3.3164014470484933E-3</v>
      </c>
      <c r="T82" s="298">
        <v>3.3164014470484933E-3</v>
      </c>
      <c r="U82" s="298">
        <v>3.3164014470484933E-3</v>
      </c>
    </row>
    <row r="83" spans="1:21" ht="14.4" x14ac:dyDescent="0.3">
      <c r="A83" s="43">
        <v>21</v>
      </c>
      <c r="B83" s="43"/>
      <c r="C83" s="1"/>
      <c r="D83" s="298">
        <v>0.62329316321319206</v>
      </c>
      <c r="E83" s="298">
        <v>0.38652912360520963</v>
      </c>
      <c r="F83" s="298">
        <v>0.28848587809075404</v>
      </c>
      <c r="G83" s="298">
        <v>0.2327624797312611</v>
      </c>
      <c r="H83" s="298">
        <v>0.12695962714013889</v>
      </c>
      <c r="I83" s="298">
        <v>0.43156831387325317</v>
      </c>
      <c r="J83" s="298">
        <v>0.51232861946084751</v>
      </c>
      <c r="K83" s="298">
        <v>0.33639919482821595</v>
      </c>
      <c r="L83" s="298">
        <v>0.24976274080004948</v>
      </c>
      <c r="M83" s="298">
        <v>0.20143664947276263</v>
      </c>
      <c r="N83" s="298">
        <v>0.14886071320433725</v>
      </c>
      <c r="O83" s="298">
        <v>0.11057082122039739</v>
      </c>
      <c r="P83" s="298">
        <v>8.69095877563483E-2</v>
      </c>
      <c r="Q83" s="298">
        <v>6.469840401868561E-2</v>
      </c>
      <c r="R83" s="298">
        <v>6.207334554446476E-2</v>
      </c>
      <c r="S83" s="298">
        <v>6.207334554446476E-2</v>
      </c>
      <c r="T83" s="298">
        <v>6.207334554446476E-2</v>
      </c>
      <c r="U83" s="298">
        <v>6.207334554446476E-2</v>
      </c>
    </row>
    <row r="84" spans="1:21" ht="14.4" x14ac:dyDescent="0.3">
      <c r="A84" s="43">
        <v>22</v>
      </c>
      <c r="B84" s="43"/>
      <c r="C84" s="1"/>
      <c r="D84" s="298">
        <v>0.10196628651957353</v>
      </c>
      <c r="E84" s="298">
        <v>3.8702088424270906E-2</v>
      </c>
      <c r="F84" s="298">
        <v>3.2940823141321553E-2</v>
      </c>
      <c r="G84" s="298">
        <v>1.4397088226243407E-2</v>
      </c>
      <c r="H84" s="298">
        <v>8.0433131135157904E-3</v>
      </c>
      <c r="I84" s="298">
        <v>9.1411482785596215E-3</v>
      </c>
      <c r="J84" s="298">
        <v>1.3328297513609087E-2</v>
      </c>
      <c r="K84" s="298">
        <v>9.9334339431091864E-3</v>
      </c>
      <c r="L84" s="298">
        <v>8.7776949548354632E-3</v>
      </c>
      <c r="M84" s="298">
        <v>2.8422690440152187E-3</v>
      </c>
      <c r="N84" s="298">
        <v>1.7693174251628295E-3</v>
      </c>
      <c r="O84" s="298">
        <v>2.3683965026528521E-3</v>
      </c>
      <c r="P84" s="298">
        <v>2.2687748359132434E-3</v>
      </c>
      <c r="Q84" s="298">
        <v>3.2956893394252857E-3</v>
      </c>
      <c r="R84" s="298">
        <v>3.1845733198832878E-3</v>
      </c>
      <c r="S84" s="298">
        <v>3.1845733198832878E-3</v>
      </c>
      <c r="T84" s="298">
        <v>3.1845733198832878E-3</v>
      </c>
      <c r="U84" s="298">
        <v>3.1845733198832878E-3</v>
      </c>
    </row>
    <row r="85" spans="1:21" ht="14.4" x14ac:dyDescent="0.3">
      <c r="A85" s="43">
        <v>23</v>
      </c>
      <c r="B85" s="43"/>
      <c r="C85" s="1"/>
      <c r="D85" s="298">
        <v>14.111336248333169</v>
      </c>
      <c r="E85" s="298">
        <v>4.5502762773923147</v>
      </c>
      <c r="F85" s="298">
        <v>2.8173069900787024</v>
      </c>
      <c r="G85" s="298">
        <v>2.0670952688936821</v>
      </c>
      <c r="H85" s="298">
        <v>2.2928087910650583</v>
      </c>
      <c r="I85" s="298">
        <v>1.9472020944612196</v>
      </c>
      <c r="J85" s="298">
        <v>1.3645089433593613</v>
      </c>
      <c r="K85" s="298">
        <v>1.1709027163413299</v>
      </c>
      <c r="L85" s="298">
        <v>1.0449622436221531</v>
      </c>
      <c r="M85" s="298">
        <v>0.98668776275695924</v>
      </c>
      <c r="N85" s="298">
        <v>0.97151910927620677</v>
      </c>
      <c r="O85" s="298">
        <v>0.91499109629030073</v>
      </c>
      <c r="P85" s="298">
        <v>0.81941237005377587</v>
      </c>
      <c r="Q85" s="298">
        <v>0.64151011524075341</v>
      </c>
      <c r="R85" s="298">
        <v>0.64347399672352978</v>
      </c>
      <c r="S85" s="298">
        <v>0.64347399672352978</v>
      </c>
      <c r="T85" s="298">
        <v>0.64347399672352978</v>
      </c>
      <c r="U85" s="298">
        <v>0.64347399672352978</v>
      </c>
    </row>
    <row r="86" spans="1:21" ht="14.4" x14ac:dyDescent="0.3">
      <c r="A86" s="43">
        <v>24</v>
      </c>
      <c r="B86" s="43"/>
      <c r="C86" s="1"/>
      <c r="D86" s="298">
        <v>3.6824454901743818E-2</v>
      </c>
      <c r="E86" s="298">
        <v>9.8382681602157043E-3</v>
      </c>
      <c r="F86" s="298">
        <v>2.4869442257516557E-3</v>
      </c>
      <c r="G86" s="298">
        <v>3.7823320015961076E-3</v>
      </c>
      <c r="H86" s="298">
        <v>3.0035667733548503E-3</v>
      </c>
      <c r="I86" s="298">
        <v>5.3235417328994826E-3</v>
      </c>
      <c r="J86" s="298">
        <v>5.8116700278296428E-3</v>
      </c>
      <c r="K86" s="298">
        <v>2.9855222275943743E-3</v>
      </c>
      <c r="L86" s="298">
        <v>2.3272957918215429E-3</v>
      </c>
      <c r="M86" s="298">
        <v>3.1075268606800422E-3</v>
      </c>
      <c r="N86" s="298">
        <v>1.6642059470906843E-3</v>
      </c>
      <c r="O86" s="298">
        <v>5.0465814106315395E-4</v>
      </c>
      <c r="P86" s="298">
        <v>2.4652728971896356E-3</v>
      </c>
      <c r="Q86" s="298">
        <v>5.6815989694872823E-4</v>
      </c>
      <c r="R86" s="298">
        <v>2.910084521893625E-3</v>
      </c>
      <c r="S86" s="298">
        <v>2.910084521893625E-3</v>
      </c>
      <c r="T86" s="298">
        <v>2.910084521893625E-3</v>
      </c>
      <c r="U86" s="298">
        <v>2.910084521893625E-3</v>
      </c>
    </row>
    <row r="87" spans="1:21" ht="14.4" x14ac:dyDescent="0.3">
      <c r="A87" s="43">
        <v>25</v>
      </c>
      <c r="B87" s="43"/>
      <c r="C87" s="1"/>
      <c r="D87" s="298">
        <v>9.1460847189836905</v>
      </c>
      <c r="E87" s="298">
        <v>3.3287755929835949</v>
      </c>
      <c r="F87" s="298">
        <v>2.4769082641614584</v>
      </c>
      <c r="G87" s="298">
        <v>1.4065816239828657</v>
      </c>
      <c r="H87" s="298">
        <v>0.9812541545579192</v>
      </c>
      <c r="I87" s="298">
        <v>0.87516515937476913</v>
      </c>
      <c r="J87" s="298">
        <v>1.0203047520164361</v>
      </c>
      <c r="K87" s="298">
        <v>0.89181945133108653</v>
      </c>
      <c r="L87" s="298">
        <v>0.77335390981045959</v>
      </c>
      <c r="M87" s="298">
        <v>0.680943962179267</v>
      </c>
      <c r="N87" s="298">
        <v>0.60410783726699213</v>
      </c>
      <c r="O87" s="298">
        <v>0.59625159344747769</v>
      </c>
      <c r="P87" s="298">
        <v>0.57911197721694829</v>
      </c>
      <c r="Q87" s="298">
        <v>0.47588131924725879</v>
      </c>
      <c r="R87" s="298">
        <v>0.48332856078705327</v>
      </c>
      <c r="S87" s="298">
        <v>0.48332856078705327</v>
      </c>
      <c r="T87" s="298">
        <v>0.48332856078705327</v>
      </c>
      <c r="U87" s="298">
        <v>0.48332856078705327</v>
      </c>
    </row>
    <row r="88" spans="1:21" ht="14.4" x14ac:dyDescent="0.3">
      <c r="A88" s="43">
        <v>26</v>
      </c>
      <c r="B88" s="43"/>
      <c r="C88" s="1"/>
      <c r="D88" s="298">
        <v>5.0821504219815294E-2</v>
      </c>
      <c r="E88" s="298">
        <v>5.5062549483802257E-2</v>
      </c>
      <c r="F88" s="298">
        <v>2.6569838221547654E-2</v>
      </c>
      <c r="G88" s="298">
        <v>1.7180710354120391E-2</v>
      </c>
      <c r="H88" s="298">
        <v>1.4413765296386657E-2</v>
      </c>
      <c r="I88" s="298">
        <v>1.340051166752103E-2</v>
      </c>
      <c r="J88" s="298">
        <v>1.2261667576280695E-2</v>
      </c>
      <c r="K88" s="298">
        <v>1.1494261330574136E-2</v>
      </c>
      <c r="L88" s="298">
        <v>1.1502164549246671E-2</v>
      </c>
      <c r="M88" s="298">
        <v>6.3586835670058186E-3</v>
      </c>
      <c r="N88" s="298">
        <v>5.7283366829020497E-3</v>
      </c>
      <c r="O88" s="298">
        <v>1.4156391535011382E-3</v>
      </c>
      <c r="P88" s="298">
        <v>2.35923526977449E-3</v>
      </c>
      <c r="Q88" s="298">
        <v>3.048115692564884E-3</v>
      </c>
      <c r="R88" s="298">
        <v>2.505817916151253E-3</v>
      </c>
      <c r="S88" s="298">
        <v>2.505817916151253E-3</v>
      </c>
      <c r="T88" s="298">
        <v>2.505817916151253E-3</v>
      </c>
      <c r="U88" s="298">
        <v>2.505817916151253E-3</v>
      </c>
    </row>
    <row r="89" spans="1:21" ht="14.4" x14ac:dyDescent="0.3">
      <c r="A89" s="43">
        <v>27</v>
      </c>
      <c r="B89" s="43"/>
      <c r="C89" s="1"/>
      <c r="D89" s="298">
        <v>0.21238680360962095</v>
      </c>
      <c r="E89" s="298">
        <v>0.25707405179893289</v>
      </c>
      <c r="F89" s="298">
        <v>0.16073741316951387</v>
      </c>
      <c r="G89" s="298">
        <v>0.17380962651022741</v>
      </c>
      <c r="H89" s="298">
        <v>9.1193806224074303E-2</v>
      </c>
      <c r="I89" s="298">
        <v>0.33088372878460953</v>
      </c>
      <c r="J89" s="298">
        <v>0.40809218499146371</v>
      </c>
      <c r="K89" s="298">
        <v>0.28326195110267732</v>
      </c>
      <c r="L89" s="298">
        <v>0.20563582476045428</v>
      </c>
      <c r="M89" s="298">
        <v>0.15760505021576746</v>
      </c>
      <c r="N89" s="298">
        <v>9.9377043514666238E-2</v>
      </c>
      <c r="O89" s="298">
        <v>7.5391622206023953E-2</v>
      </c>
      <c r="P89" s="298">
        <v>6.8011485955306775E-2</v>
      </c>
      <c r="Q89" s="298">
        <v>5.56664765461901E-2</v>
      </c>
      <c r="R89" s="298">
        <v>5.3354821022066533E-2</v>
      </c>
      <c r="S89" s="298">
        <v>5.3354821022066533E-2</v>
      </c>
      <c r="T89" s="298">
        <v>5.3354821022066533E-2</v>
      </c>
      <c r="U89" s="298">
        <v>5.3354821022066533E-2</v>
      </c>
    </row>
    <row r="90" spans="1:21" ht="14.4" x14ac:dyDescent="0.3">
      <c r="A90" s="43">
        <v>28</v>
      </c>
      <c r="B90" s="43"/>
      <c r="C90" s="1"/>
      <c r="D90" s="298">
        <v>1.9392625777396737E-2</v>
      </c>
      <c r="E90" s="298">
        <v>4.7102518518670457E-2</v>
      </c>
      <c r="F90" s="298">
        <v>2.8971418661601897E-2</v>
      </c>
      <c r="G90" s="298">
        <v>1.1872541264805246E-2</v>
      </c>
      <c r="H90" s="298">
        <v>6.9611130983163278E-3</v>
      </c>
      <c r="I90" s="298">
        <v>8.5362681900183323E-3</v>
      </c>
      <c r="J90" s="298">
        <v>1.2556658041302614E-2</v>
      </c>
      <c r="K90" s="298">
        <v>1.0537656791068419E-2</v>
      </c>
      <c r="L90" s="298">
        <v>9.2930775732190107E-3</v>
      </c>
      <c r="M90" s="298">
        <v>3.3090135809581808E-3</v>
      </c>
      <c r="N90" s="298">
        <v>8.4429509332862738E-4</v>
      </c>
      <c r="O90" s="298">
        <v>1.7536756837702497E-3</v>
      </c>
      <c r="P90" s="298">
        <v>1.2486380283558422E-3</v>
      </c>
      <c r="Q90" s="298">
        <v>3.2293207653354824E-3</v>
      </c>
      <c r="R90" s="298">
        <v>2.7333925969108054E-3</v>
      </c>
      <c r="S90" s="298">
        <v>2.7333925969108054E-3</v>
      </c>
      <c r="T90" s="298">
        <v>2.7333925969108054E-3</v>
      </c>
      <c r="U90" s="298">
        <v>2.7333925969108054E-3</v>
      </c>
    </row>
    <row r="91" spans="1:21" ht="14.4" x14ac:dyDescent="0.3">
      <c r="A91" s="43">
        <v>29</v>
      </c>
      <c r="B91" s="43"/>
      <c r="C91" s="1"/>
      <c r="D91" s="298">
        <v>6.5146861253923207</v>
      </c>
      <c r="E91" s="298">
        <v>2.6788137999966111</v>
      </c>
      <c r="F91" s="298">
        <v>1.6106667515221753</v>
      </c>
      <c r="G91" s="298">
        <v>1.3975423047728013</v>
      </c>
      <c r="H91" s="298">
        <v>1.3999934630363924</v>
      </c>
      <c r="I91" s="298">
        <v>1.0907850218496227</v>
      </c>
      <c r="J91" s="298">
        <v>0.75870567381450926</v>
      </c>
      <c r="K91" s="298">
        <v>0.75678843679568575</v>
      </c>
      <c r="L91" s="298">
        <v>0.75575983296320848</v>
      </c>
      <c r="M91" s="298">
        <v>0.72478506133268517</v>
      </c>
      <c r="N91" s="298">
        <v>0.61840577400138186</v>
      </c>
      <c r="O91" s="298">
        <v>0.50578743449988961</v>
      </c>
      <c r="P91" s="298">
        <v>0.46727025134098182</v>
      </c>
      <c r="Q91" s="298">
        <v>0.45386743782930422</v>
      </c>
      <c r="R91" s="298">
        <v>0.4514293951690499</v>
      </c>
      <c r="S91" s="298">
        <v>0.4514293951690499</v>
      </c>
      <c r="T91" s="298">
        <v>0.4514293951690499</v>
      </c>
      <c r="U91" s="298">
        <v>0.4514293951690499</v>
      </c>
    </row>
    <row r="92" spans="1:21" ht="14.4" x14ac:dyDescent="0.3">
      <c r="A92" s="43">
        <v>30</v>
      </c>
      <c r="B92" s="43"/>
      <c r="C92" s="1"/>
      <c r="D92" s="298">
        <v>3.4884370898550648E-2</v>
      </c>
      <c r="E92" s="298">
        <v>4.1765772225850796E-3</v>
      </c>
      <c r="F92" s="298">
        <v>3.1945642193693534E-3</v>
      </c>
      <c r="G92" s="298">
        <v>3.60287707209932E-3</v>
      </c>
      <c r="H92" s="298">
        <v>3.2920300374340902E-3</v>
      </c>
      <c r="I92" s="298">
        <v>5.0314868423076246E-3</v>
      </c>
      <c r="J92" s="298">
        <v>4.6053075814346854E-3</v>
      </c>
      <c r="K92" s="298">
        <v>3.6991571943863818E-3</v>
      </c>
      <c r="L92" s="298">
        <v>1.9564019833816105E-3</v>
      </c>
      <c r="M92" s="298">
        <v>2.8717553777810353E-3</v>
      </c>
      <c r="N92" s="298">
        <v>2.6821760992090326E-3</v>
      </c>
      <c r="O92" s="298">
        <v>5.3985110846739104E-4</v>
      </c>
      <c r="P92" s="298">
        <v>8.6189772740157076E-4</v>
      </c>
      <c r="Q92" s="298">
        <v>7.0587971191137216E-4</v>
      </c>
      <c r="R92" s="298">
        <v>2.5967183728580682E-3</v>
      </c>
      <c r="S92" s="298">
        <v>2.5967183728580682E-3</v>
      </c>
      <c r="T92" s="298">
        <v>2.5967183728580682E-3</v>
      </c>
      <c r="U92" s="298">
        <v>2.5967183728580682E-3</v>
      </c>
    </row>
    <row r="93" spans="1:21" ht="14.4" x14ac:dyDescent="0.3">
      <c r="A93" s="43">
        <v>31</v>
      </c>
      <c r="B93" s="43"/>
      <c r="C93" s="1"/>
      <c r="D93" s="298">
        <v>6.3339107327432735</v>
      </c>
      <c r="E93" s="298">
        <v>2.4858685050570775</v>
      </c>
      <c r="F93" s="298">
        <v>1.4322222537619056</v>
      </c>
      <c r="G93" s="298">
        <v>0.82280279165842463</v>
      </c>
      <c r="H93" s="298">
        <v>0.68512353629472578</v>
      </c>
      <c r="I93" s="298">
        <v>0.58112005814292844</v>
      </c>
      <c r="J93" s="298">
        <v>0.56772740214173922</v>
      </c>
      <c r="K93" s="298">
        <v>0.46221863452787271</v>
      </c>
      <c r="L93" s="298">
        <v>0.42486576546865334</v>
      </c>
      <c r="M93" s="298">
        <v>0.43056874893088998</v>
      </c>
      <c r="N93" s="298">
        <v>0.43268010175951643</v>
      </c>
      <c r="O93" s="298">
        <v>0.37617527613812002</v>
      </c>
      <c r="P93" s="298">
        <v>0.31678577460681751</v>
      </c>
      <c r="Q93" s="298">
        <v>0.30877008317967913</v>
      </c>
      <c r="R93" s="298">
        <v>0.3120658886678041</v>
      </c>
      <c r="S93" s="298">
        <v>0.3120658886678041</v>
      </c>
      <c r="T93" s="298">
        <v>0.3120658886678041</v>
      </c>
      <c r="U93" s="298">
        <v>0.3120658886678041</v>
      </c>
    </row>
    <row r="94" spans="1:21" ht="14.4" x14ac:dyDescent="0.3">
      <c r="A94" s="43">
        <v>32</v>
      </c>
      <c r="B94" s="43"/>
      <c r="C94" s="1"/>
      <c r="D94" s="298">
        <v>4.6506205535545839E-2</v>
      </c>
      <c r="E94" s="298">
        <v>3.3260518350729629E-2</v>
      </c>
      <c r="F94" s="298">
        <v>2.9586195514357663E-2</v>
      </c>
      <c r="G94" s="298">
        <v>1.9535797704362808E-2</v>
      </c>
      <c r="H94" s="298">
        <v>1.4563606306652922E-2</v>
      </c>
      <c r="I94" s="298">
        <v>1.305927336868163E-2</v>
      </c>
      <c r="J94" s="298">
        <v>8.8970610246392086E-3</v>
      </c>
      <c r="K94" s="298">
        <v>1.1901375104307985E-2</v>
      </c>
      <c r="L94" s="298">
        <v>1.1921658515740853E-2</v>
      </c>
      <c r="M94" s="298">
        <v>5.9187663071225798E-3</v>
      </c>
      <c r="N94" s="298">
        <v>4.587462629749072E-3</v>
      </c>
      <c r="O94" s="298">
        <v>1.2699646308248702E-3</v>
      </c>
      <c r="P94" s="298">
        <v>2.2444292602197963E-3</v>
      </c>
      <c r="Q94" s="298">
        <v>2.8384966763810126E-3</v>
      </c>
      <c r="R94" s="298">
        <v>2.9287371239286731E-3</v>
      </c>
      <c r="S94" s="298">
        <v>2.9287371239286731E-3</v>
      </c>
      <c r="T94" s="298">
        <v>2.9287371239286731E-3</v>
      </c>
      <c r="U94" s="298">
        <v>2.9287371239286731E-3</v>
      </c>
    </row>
    <row r="95" spans="1:21" ht="14.4" x14ac:dyDescent="0.3">
      <c r="A95" s="43">
        <v>33</v>
      </c>
      <c r="B95" s="43"/>
      <c r="C95" s="1"/>
      <c r="D95" s="298">
        <v>0.30274927892914244</v>
      </c>
      <c r="E95" s="298">
        <v>1.7216657169820748E-2</v>
      </c>
      <c r="F95" s="298">
        <v>0.12233571605865014</v>
      </c>
      <c r="G95" s="298">
        <v>0.13605621192601108</v>
      </c>
      <c r="H95" s="298">
        <v>7.0763148414675126E-2</v>
      </c>
      <c r="I95" s="298">
        <v>0.26563628264177047</v>
      </c>
      <c r="J95" s="298">
        <v>0.34165566585023771</v>
      </c>
      <c r="K95" s="298">
        <v>0.22742267911109676</v>
      </c>
      <c r="L95" s="298">
        <v>0.15381673439332844</v>
      </c>
      <c r="M95" s="298">
        <v>0.11558930646976719</v>
      </c>
      <c r="N95" s="298">
        <v>8.4151409301761251E-2</v>
      </c>
      <c r="O95" s="298">
        <v>6.7503639523961864E-2</v>
      </c>
      <c r="P95" s="298">
        <v>5.6413371607669127E-2</v>
      </c>
      <c r="Q95" s="298">
        <v>4.1647697018963321E-2</v>
      </c>
      <c r="R95" s="298">
        <v>3.9799798597555773E-2</v>
      </c>
      <c r="S95" s="298">
        <v>3.9799798597555773E-2</v>
      </c>
      <c r="T95" s="298">
        <v>3.9799798597555773E-2</v>
      </c>
      <c r="U95" s="298">
        <v>3.9799798597555773E-2</v>
      </c>
    </row>
    <row r="96" spans="1:21" ht="14.4" x14ac:dyDescent="0.3">
      <c r="A96" s="43">
        <v>34</v>
      </c>
      <c r="B96" s="43"/>
      <c r="C96" s="1"/>
      <c r="D96" s="298">
        <v>0.15658261184107439</v>
      </c>
      <c r="E96" s="298">
        <v>6.9206297258360139E-2</v>
      </c>
      <c r="F96" s="298">
        <v>0.11719738000471913</v>
      </c>
      <c r="G96" s="298">
        <v>9.0950515996728487E-2</v>
      </c>
      <c r="H96" s="298">
        <v>5.6069430808107633E-2</v>
      </c>
      <c r="I96" s="298">
        <v>0.18457651004529252</v>
      </c>
      <c r="J96" s="298">
        <v>0.21861320828195963</v>
      </c>
      <c r="K96" s="298">
        <v>0.14805460867942424</v>
      </c>
      <c r="L96" s="298">
        <v>0.10865726471480185</v>
      </c>
      <c r="M96" s="298">
        <v>8.7921961526698345E-2</v>
      </c>
      <c r="N96" s="298">
        <v>5.8256465500538285E-2</v>
      </c>
      <c r="O96" s="298">
        <v>4.4253058727944716E-2</v>
      </c>
      <c r="P96" s="298">
        <v>3.9509788445304235E-2</v>
      </c>
      <c r="Q96" s="298">
        <v>2.9542651780987427E-2</v>
      </c>
      <c r="R96" s="298">
        <v>2.8071591122090556E-2</v>
      </c>
      <c r="S96" s="298">
        <v>2.8071591122090556E-2</v>
      </c>
      <c r="T96" s="298">
        <v>2.8071591122090556E-2</v>
      </c>
      <c r="U96" s="298">
        <v>2.8071591122090556E-2</v>
      </c>
    </row>
    <row r="97" spans="1:21" ht="14.4" x14ac:dyDescent="0.3">
      <c r="A97" s="43">
        <v>35</v>
      </c>
      <c r="B97" s="43"/>
      <c r="C97" s="1"/>
      <c r="D97" s="298">
        <v>5.9029852258662023</v>
      </c>
      <c r="E97" s="298">
        <v>1.4733260588243429</v>
      </c>
      <c r="F97" s="298">
        <v>1.2803616292235322</v>
      </c>
      <c r="G97" s="298">
        <v>1.0290257258239199</v>
      </c>
      <c r="H97" s="298">
        <v>0.95078684693100002</v>
      </c>
      <c r="I97" s="298">
        <v>0.68755518357204037</v>
      </c>
      <c r="J97" s="298">
        <v>0.51648077967213191</v>
      </c>
      <c r="K97" s="298">
        <v>0.5658478637815777</v>
      </c>
      <c r="L97" s="298">
        <v>0.55172205299175037</v>
      </c>
      <c r="M97" s="298">
        <v>0.48796466250698262</v>
      </c>
      <c r="N97" s="298">
        <v>0.39029335703643686</v>
      </c>
      <c r="O97" s="298">
        <v>0.36343466624775511</v>
      </c>
      <c r="P97" s="298">
        <v>0.35166631128246867</v>
      </c>
      <c r="Q97" s="298">
        <v>0.28545240285608292</v>
      </c>
      <c r="R97" s="298">
        <v>0.28281840150514814</v>
      </c>
      <c r="S97" s="298">
        <v>0.28281840150514814</v>
      </c>
      <c r="T97" s="298">
        <v>0.28281840150514814</v>
      </c>
      <c r="U97" s="298">
        <v>0.28281840150514814</v>
      </c>
    </row>
    <row r="98" spans="1:21" ht="14.4" x14ac:dyDescent="0.3">
      <c r="A98" s="43">
        <v>36</v>
      </c>
      <c r="B98" s="43"/>
      <c r="C98" s="1"/>
      <c r="D98" s="298">
        <v>0.15658261184107439</v>
      </c>
      <c r="E98" s="298">
        <v>6.9206297258360139E-2</v>
      </c>
      <c r="F98" s="298">
        <v>0.11719738000471913</v>
      </c>
      <c r="G98" s="298">
        <v>9.0950515996728487E-2</v>
      </c>
      <c r="H98" s="298">
        <v>5.6069430808107633E-2</v>
      </c>
      <c r="I98" s="298">
        <v>0.18457651004529252</v>
      </c>
      <c r="J98" s="298">
        <v>0.21861320828195963</v>
      </c>
      <c r="K98" s="298">
        <v>0.14805460867942424</v>
      </c>
      <c r="L98" s="298">
        <v>0.10865726471480185</v>
      </c>
      <c r="M98" s="298">
        <v>8.7921961526698345E-2</v>
      </c>
      <c r="N98" s="298">
        <v>5.8256465500538285E-2</v>
      </c>
      <c r="O98" s="298">
        <v>4.4253058727944716E-2</v>
      </c>
      <c r="P98" s="298">
        <v>3.9509788445304235E-2</v>
      </c>
      <c r="Q98" s="298">
        <v>2.9542651780987427E-2</v>
      </c>
      <c r="R98" s="298">
        <v>2.8071591122090556E-2</v>
      </c>
      <c r="S98" s="298">
        <v>2.8071591122090556E-2</v>
      </c>
      <c r="T98" s="298">
        <v>2.8071591122090556E-2</v>
      </c>
      <c r="U98" s="298">
        <v>2.8071591122090556E-2</v>
      </c>
    </row>
    <row r="99" spans="1:21" ht="14.4" x14ac:dyDescent="0.3">
      <c r="A99" s="43">
        <v>37</v>
      </c>
      <c r="B99" s="43"/>
      <c r="C99" s="1"/>
      <c r="D99" s="298">
        <v>4.7242605294817244</v>
      </c>
      <c r="E99" s="298">
        <v>1.4147795985274163</v>
      </c>
      <c r="F99" s="298">
        <v>0.86563302172429457</v>
      </c>
      <c r="G99" s="298">
        <v>0.58792408051231626</v>
      </c>
      <c r="H99" s="298">
        <v>0.44571284137714501</v>
      </c>
      <c r="I99" s="298">
        <v>0.35071388358174704</v>
      </c>
      <c r="J99" s="298">
        <v>0.34192356461046053</v>
      </c>
      <c r="K99" s="298">
        <v>0.32136315457507253</v>
      </c>
      <c r="L99" s="298">
        <v>0.32334277343163409</v>
      </c>
      <c r="M99" s="298">
        <v>0.31458122808120276</v>
      </c>
      <c r="N99" s="298">
        <v>0.26038899134139826</v>
      </c>
      <c r="O99" s="298">
        <v>0.23293659142238254</v>
      </c>
      <c r="P99" s="298">
        <v>0.23495243567481122</v>
      </c>
      <c r="Q99" s="298">
        <v>0.1983093021126322</v>
      </c>
      <c r="R99" s="298">
        <v>0.19995839901366486</v>
      </c>
      <c r="S99" s="298">
        <v>0.19995839901366486</v>
      </c>
      <c r="T99" s="298">
        <v>0.19995839901366486</v>
      </c>
      <c r="U99" s="298">
        <v>0.19995839901366486</v>
      </c>
    </row>
    <row r="100" spans="1:21" ht="14.4" x14ac:dyDescent="0.3">
      <c r="A100" s="43">
        <v>38</v>
      </c>
      <c r="B100" s="43"/>
      <c r="C100" s="1"/>
      <c r="D100" s="298">
        <v>0.15658261184107439</v>
      </c>
      <c r="E100" s="298">
        <v>6.9206297258360139E-2</v>
      </c>
      <c r="F100" s="298">
        <v>0.11719738000471913</v>
      </c>
      <c r="G100" s="298">
        <v>9.0950515996728487E-2</v>
      </c>
      <c r="H100" s="298">
        <v>5.6069430808107633E-2</v>
      </c>
      <c r="I100" s="298">
        <v>0.18457651004529252</v>
      </c>
      <c r="J100" s="298">
        <v>0.21861320828195963</v>
      </c>
      <c r="K100" s="298">
        <v>0.14805460867942424</v>
      </c>
      <c r="L100" s="298">
        <v>0.10865726471480185</v>
      </c>
      <c r="M100" s="298">
        <v>8.7921961526698345E-2</v>
      </c>
      <c r="N100" s="298">
        <v>5.8256465500538285E-2</v>
      </c>
      <c r="O100" s="298">
        <v>4.4253058727944716E-2</v>
      </c>
      <c r="P100" s="298">
        <v>3.9509788445304235E-2</v>
      </c>
      <c r="Q100" s="298">
        <v>2.9542651780987427E-2</v>
      </c>
      <c r="R100" s="298">
        <v>2.8071591122090556E-2</v>
      </c>
      <c r="S100" s="298">
        <v>2.8071591122090556E-2</v>
      </c>
      <c r="T100" s="298">
        <v>2.8071591122090556E-2</v>
      </c>
      <c r="U100" s="298">
        <v>2.8071591122090556E-2</v>
      </c>
    </row>
    <row r="101" spans="1:21" ht="14.4" x14ac:dyDescent="0.3">
      <c r="A101" s="43">
        <v>39</v>
      </c>
      <c r="B101" s="43"/>
      <c r="C101" s="1"/>
      <c r="D101" s="298">
        <v>0.2079850899943797</v>
      </c>
      <c r="E101" s="298">
        <v>0.13041647508011303</v>
      </c>
      <c r="F101" s="298">
        <v>0.12947509110634475</v>
      </c>
      <c r="G101" s="298">
        <v>0.11009404781577684</v>
      </c>
      <c r="H101" s="298">
        <v>6.014929527512837E-2</v>
      </c>
      <c r="I101" s="298">
        <v>0.21949671273146126</v>
      </c>
      <c r="J101" s="298">
        <v>0.27640701454444089</v>
      </c>
      <c r="K101" s="298">
        <v>0.17818419975534588</v>
      </c>
      <c r="L101" s="298">
        <v>0.12256174642203793</v>
      </c>
      <c r="M101" s="298">
        <v>9.8387203409769475E-2</v>
      </c>
      <c r="N101" s="298">
        <v>7.1958024598108364E-2</v>
      </c>
      <c r="O101" s="298">
        <v>5.1366620792552581E-2</v>
      </c>
      <c r="P101" s="298">
        <v>4.2850088405828553E-2</v>
      </c>
      <c r="Q101" s="298">
        <v>3.5922322150466021E-2</v>
      </c>
      <c r="R101" s="298">
        <v>3.4556391879303032E-2</v>
      </c>
      <c r="S101" s="298">
        <v>3.4556391879303032E-2</v>
      </c>
      <c r="T101" s="298">
        <v>3.4556391879303032E-2</v>
      </c>
      <c r="U101" s="298">
        <v>3.4556391879303032E-2</v>
      </c>
    </row>
    <row r="102" spans="1:21" ht="14.4" x14ac:dyDescent="0.3">
      <c r="A102" s="43">
        <v>40</v>
      </c>
      <c r="B102" s="43"/>
      <c r="C102" s="1"/>
      <c r="D102" s="298">
        <v>0.15658261184107439</v>
      </c>
      <c r="E102" s="298">
        <v>6.9206297258360139E-2</v>
      </c>
      <c r="F102" s="298">
        <v>0.11719738000471913</v>
      </c>
      <c r="G102" s="298">
        <v>9.0950515996728487E-2</v>
      </c>
      <c r="H102" s="298">
        <v>5.6069430808107633E-2</v>
      </c>
      <c r="I102" s="298">
        <v>0.18457651004529252</v>
      </c>
      <c r="J102" s="298">
        <v>0.21861320828195963</v>
      </c>
      <c r="K102" s="298">
        <v>0.14805460867942424</v>
      </c>
      <c r="L102" s="298">
        <v>0.10865726471480185</v>
      </c>
      <c r="M102" s="298">
        <v>8.7921961526698345E-2</v>
      </c>
      <c r="N102" s="298">
        <v>5.8256465500538285E-2</v>
      </c>
      <c r="O102" s="298">
        <v>4.4253058727944716E-2</v>
      </c>
      <c r="P102" s="298">
        <v>3.9509788445304235E-2</v>
      </c>
      <c r="Q102" s="298">
        <v>2.9542651780987427E-2</v>
      </c>
      <c r="R102" s="298">
        <v>2.8071591122090556E-2</v>
      </c>
      <c r="S102" s="298">
        <v>2.8071591122090556E-2</v>
      </c>
      <c r="T102" s="298">
        <v>2.8071591122090556E-2</v>
      </c>
      <c r="U102" s="298">
        <v>2.8071591122090556E-2</v>
      </c>
    </row>
    <row r="103" spans="1:21" ht="14.4" x14ac:dyDescent="0.3">
      <c r="A103" s="43">
        <v>41</v>
      </c>
      <c r="B103" s="43"/>
      <c r="C103" s="1"/>
      <c r="D103" s="298">
        <v>2.9593523720748518</v>
      </c>
      <c r="E103" s="298">
        <v>1.3960448536050045</v>
      </c>
      <c r="F103" s="298">
        <v>0.9788469484846104</v>
      </c>
      <c r="G103" s="298">
        <v>0.76626902234982497</v>
      </c>
      <c r="H103" s="298">
        <v>0.64986432358583057</v>
      </c>
      <c r="I103" s="298">
        <v>0.49479101470748305</v>
      </c>
      <c r="J103" s="298">
        <v>0.39951328972932304</v>
      </c>
      <c r="K103" s="298">
        <v>0.41594580564321404</v>
      </c>
      <c r="L103" s="298">
        <v>0.37579029347140652</v>
      </c>
      <c r="M103" s="298">
        <v>0.32440122806902955</v>
      </c>
      <c r="N103" s="298">
        <v>0.30529874652047795</v>
      </c>
      <c r="O103" s="298">
        <v>0.272856325769609</v>
      </c>
      <c r="P103" s="298">
        <v>0.23528249165808171</v>
      </c>
      <c r="Q103" s="298">
        <v>0.21930268062364178</v>
      </c>
      <c r="R103" s="298">
        <v>0.21942223358685053</v>
      </c>
      <c r="S103" s="298">
        <v>0.21942223358685053</v>
      </c>
      <c r="T103" s="298">
        <v>0.21942223358685053</v>
      </c>
      <c r="U103" s="298">
        <v>0.21942223358685053</v>
      </c>
    </row>
    <row r="104" spans="1:21" ht="14.4" x14ac:dyDescent="0.3">
      <c r="A104" s="43">
        <v>42</v>
      </c>
      <c r="B104" s="43"/>
      <c r="C104" s="1"/>
      <c r="D104" s="298">
        <v>0.15658261184107439</v>
      </c>
      <c r="E104" s="298">
        <v>6.9206297258360139E-2</v>
      </c>
      <c r="F104" s="298">
        <v>0.11719738000471913</v>
      </c>
      <c r="G104" s="298">
        <v>9.0950515996728487E-2</v>
      </c>
      <c r="H104" s="298">
        <v>5.6069430808107633E-2</v>
      </c>
      <c r="I104" s="298">
        <v>0.18457651004529252</v>
      </c>
      <c r="J104" s="298">
        <v>0.21861320828195963</v>
      </c>
      <c r="K104" s="298">
        <v>0.14805460867942424</v>
      </c>
      <c r="L104" s="298">
        <v>0.10865726471480185</v>
      </c>
      <c r="M104" s="298">
        <v>8.7921961526698345E-2</v>
      </c>
      <c r="N104" s="298">
        <v>5.8256465500538285E-2</v>
      </c>
      <c r="O104" s="298">
        <v>4.4253058727944716E-2</v>
      </c>
      <c r="P104" s="298">
        <v>3.9509788445304235E-2</v>
      </c>
      <c r="Q104" s="298">
        <v>2.9542651780987427E-2</v>
      </c>
      <c r="R104" s="298">
        <v>2.8071591122090556E-2</v>
      </c>
      <c r="S104" s="298">
        <v>2.8071591122090556E-2</v>
      </c>
      <c r="T104" s="298">
        <v>2.8071591122090556E-2</v>
      </c>
      <c r="U104" s="298">
        <v>2.8071591122090556E-2</v>
      </c>
    </row>
    <row r="105" spans="1:21" ht="14.4" x14ac:dyDescent="0.3">
      <c r="A105" s="43">
        <v>43</v>
      </c>
      <c r="B105" s="43"/>
      <c r="C105" s="1"/>
      <c r="D105" s="298">
        <v>2.2178560512821952</v>
      </c>
      <c r="E105" s="298">
        <v>1.1905972320783262</v>
      </c>
      <c r="F105" s="298">
        <v>0.75615175660327605</v>
      </c>
      <c r="G105" s="298">
        <v>0.45362551647456517</v>
      </c>
      <c r="H105" s="298">
        <v>0.28528173727691464</v>
      </c>
      <c r="I105" s="298">
        <v>0.21779752656057286</v>
      </c>
      <c r="J105" s="298">
        <v>0.25538951981730396</v>
      </c>
      <c r="K105" s="298">
        <v>0.24818871965708805</v>
      </c>
      <c r="L105" s="298">
        <v>0.22308863199724832</v>
      </c>
      <c r="M105" s="298">
        <v>0.19779080449305989</v>
      </c>
      <c r="N105" s="298">
        <v>0.1877023014843526</v>
      </c>
      <c r="O105" s="298">
        <v>0.18024721970812474</v>
      </c>
      <c r="P105" s="298">
        <v>0.14969356494618877</v>
      </c>
      <c r="Q105" s="298">
        <v>0.15402172112964774</v>
      </c>
      <c r="R105" s="298">
        <v>0.14788153997371078</v>
      </c>
      <c r="S105" s="298">
        <v>0.14788153997371078</v>
      </c>
      <c r="T105" s="298">
        <v>0.14788153997371078</v>
      </c>
      <c r="U105" s="298">
        <v>0.14788153997371078</v>
      </c>
    </row>
    <row r="106" spans="1:21" ht="14.4" x14ac:dyDescent="0.3">
      <c r="A106" s="43">
        <v>44</v>
      </c>
      <c r="B106" s="43"/>
      <c r="C106" s="1"/>
      <c r="D106" s="298">
        <v>0.15658261184107439</v>
      </c>
      <c r="E106" s="298">
        <v>6.9206297258360139E-2</v>
      </c>
      <c r="F106" s="298">
        <v>0.11719738000471913</v>
      </c>
      <c r="G106" s="298">
        <v>9.0950515996728487E-2</v>
      </c>
      <c r="H106" s="298">
        <v>5.6069430808107633E-2</v>
      </c>
      <c r="I106" s="298">
        <v>0.18457651004529252</v>
      </c>
      <c r="J106" s="298">
        <v>0.21861320828195963</v>
      </c>
      <c r="K106" s="298">
        <v>0.14805460867942424</v>
      </c>
      <c r="L106" s="298">
        <v>0.10865726471480185</v>
      </c>
      <c r="M106" s="298">
        <v>8.7921961526698345E-2</v>
      </c>
      <c r="N106" s="298">
        <v>5.8256465500538285E-2</v>
      </c>
      <c r="O106" s="298">
        <v>4.4253058727944716E-2</v>
      </c>
      <c r="P106" s="298">
        <v>3.9509788445304235E-2</v>
      </c>
      <c r="Q106" s="298">
        <v>2.9542651780987427E-2</v>
      </c>
      <c r="R106" s="298">
        <v>2.8071591122090556E-2</v>
      </c>
      <c r="S106" s="298">
        <v>2.8071591122090556E-2</v>
      </c>
      <c r="T106" s="298">
        <v>2.8071591122090556E-2</v>
      </c>
      <c r="U106" s="298">
        <v>2.8071591122090556E-2</v>
      </c>
    </row>
    <row r="107" spans="1:21" ht="14.4" x14ac:dyDescent="0.3">
      <c r="A107" s="43">
        <v>45</v>
      </c>
      <c r="B107" s="43"/>
      <c r="C107" s="1"/>
      <c r="D107" s="298">
        <v>0.15674381381219379</v>
      </c>
      <c r="E107" s="298">
        <v>6.9135515452953725E-2</v>
      </c>
      <c r="F107" s="298">
        <v>0.11721931861181524</v>
      </c>
      <c r="G107" s="298">
        <v>9.0976276916425139E-2</v>
      </c>
      <c r="H107" s="298">
        <v>5.5974795488511517E-2</v>
      </c>
      <c r="I107" s="298">
        <v>0.18455139999068912</v>
      </c>
      <c r="J107" s="298">
        <v>0.21866515563030009</v>
      </c>
      <c r="K107" s="298">
        <v>0.14808361462956454</v>
      </c>
      <c r="L107" s="298">
        <v>0.10867252849450271</v>
      </c>
      <c r="M107" s="298">
        <v>8.7932880027034033E-2</v>
      </c>
      <c r="N107" s="298">
        <v>5.8261619608528936E-2</v>
      </c>
      <c r="O107" s="298">
        <v>4.4254803859095013E-2</v>
      </c>
      <c r="P107" s="298">
        <v>3.9511622355493263E-2</v>
      </c>
      <c r="Q107" s="298">
        <v>2.9543012509050892E-2</v>
      </c>
      <c r="R107" s="298">
        <v>2.8071590865564936E-2</v>
      </c>
      <c r="S107" s="298">
        <v>2.8071590865564936E-2</v>
      </c>
      <c r="T107" s="298">
        <v>2.8071590865564936E-2</v>
      </c>
      <c r="U107" s="298">
        <v>2.8071590865564936E-2</v>
      </c>
    </row>
    <row r="108" spans="1:21" ht="14.4" x14ac:dyDescent="0.3">
      <c r="A108" s="43">
        <v>46</v>
      </c>
      <c r="B108" s="43"/>
      <c r="C108" s="1"/>
      <c r="D108" s="298">
        <v>0.15658261184107439</v>
      </c>
      <c r="E108" s="298">
        <v>6.9206297258360139E-2</v>
      </c>
      <c r="F108" s="298">
        <v>0.11719738000471913</v>
      </c>
      <c r="G108" s="298">
        <v>9.0950515996728487E-2</v>
      </c>
      <c r="H108" s="298">
        <v>5.6069430808107633E-2</v>
      </c>
      <c r="I108" s="298">
        <v>0.18457651004529252</v>
      </c>
      <c r="J108" s="298">
        <v>0.21861320828195963</v>
      </c>
      <c r="K108" s="298">
        <v>0.14805460867942424</v>
      </c>
      <c r="L108" s="298">
        <v>0.10865726471480185</v>
      </c>
      <c r="M108" s="298">
        <v>8.7921961526698345E-2</v>
      </c>
      <c r="N108" s="298">
        <v>5.8256465500538285E-2</v>
      </c>
      <c r="O108" s="298">
        <v>4.4253058727944716E-2</v>
      </c>
      <c r="P108" s="298">
        <v>3.9509788445304235E-2</v>
      </c>
      <c r="Q108" s="298">
        <v>2.9542651780987427E-2</v>
      </c>
      <c r="R108" s="298">
        <v>2.8071591122090556E-2</v>
      </c>
      <c r="S108" s="298">
        <v>2.8071591122090556E-2</v>
      </c>
      <c r="T108" s="298">
        <v>2.8071591122090556E-2</v>
      </c>
      <c r="U108" s="298">
        <v>2.8071591122090556E-2</v>
      </c>
    </row>
    <row r="109" spans="1:21" ht="14.4" x14ac:dyDescent="0.3">
      <c r="A109" s="43">
        <v>47</v>
      </c>
      <c r="B109" s="43"/>
      <c r="C109" s="1"/>
      <c r="D109" s="298">
        <v>2.3268630691236321</v>
      </c>
      <c r="E109" s="298">
        <v>0.78641478977548207</v>
      </c>
      <c r="F109" s="298">
        <v>0.65683719239534155</v>
      </c>
      <c r="G109" s="298">
        <v>0.58143321676267457</v>
      </c>
      <c r="H109" s="298">
        <v>0.44928960665019158</v>
      </c>
      <c r="I109" s="298">
        <v>0.41294151992551731</v>
      </c>
      <c r="J109" s="298">
        <v>0.2940568330031525</v>
      </c>
      <c r="K109" s="298">
        <v>0.2786885915405366</v>
      </c>
      <c r="L109" s="298">
        <v>0.26697263616116279</v>
      </c>
      <c r="M109" s="298">
        <v>0.26064585390490097</v>
      </c>
      <c r="N109" s="298">
        <v>0.2367936036530196</v>
      </c>
      <c r="O109" s="298">
        <v>0.19038468562778788</v>
      </c>
      <c r="P109" s="298">
        <v>0.18456070692514012</v>
      </c>
      <c r="Q109" s="298">
        <v>0.16108516476637483</v>
      </c>
      <c r="R109" s="298">
        <v>0.15522073313539117</v>
      </c>
      <c r="S109" s="298">
        <v>0.15522073313539117</v>
      </c>
      <c r="T109" s="298">
        <v>0.15522073313539117</v>
      </c>
      <c r="U109" s="298">
        <v>0.15522073313539117</v>
      </c>
    </row>
    <row r="110" spans="1:21" ht="14.4" x14ac:dyDescent="0.3">
      <c r="A110" s="43">
        <v>48</v>
      </c>
      <c r="B110" s="43"/>
      <c r="C110" s="1"/>
      <c r="D110" s="298">
        <v>0.15658261184107439</v>
      </c>
      <c r="E110" s="298">
        <v>6.9206297258360139E-2</v>
      </c>
      <c r="F110" s="298">
        <v>0.11719738000471913</v>
      </c>
      <c r="G110" s="298">
        <v>9.0950515996728487E-2</v>
      </c>
      <c r="H110" s="298">
        <v>5.6069430808107633E-2</v>
      </c>
      <c r="I110" s="298">
        <v>0.18457651004529252</v>
      </c>
      <c r="J110" s="298">
        <v>0.21861320828195963</v>
      </c>
      <c r="K110" s="298">
        <v>0.14805460867942424</v>
      </c>
      <c r="L110" s="298">
        <v>0.10865726471480185</v>
      </c>
      <c r="M110" s="298">
        <v>8.7921961526698345E-2</v>
      </c>
      <c r="N110" s="298">
        <v>5.8256465500538285E-2</v>
      </c>
      <c r="O110" s="298">
        <v>4.4253058727944716E-2</v>
      </c>
      <c r="P110" s="298">
        <v>3.9509788445304235E-2</v>
      </c>
      <c r="Q110" s="298">
        <v>2.9542651780987427E-2</v>
      </c>
      <c r="R110" s="298">
        <v>2.8071591122090556E-2</v>
      </c>
      <c r="S110" s="298">
        <v>2.8071591122090556E-2</v>
      </c>
      <c r="T110" s="298">
        <v>2.8071591122090556E-2</v>
      </c>
      <c r="U110" s="298">
        <v>2.8071591122090556E-2</v>
      </c>
    </row>
    <row r="111" spans="1:21" ht="14.4" x14ac:dyDescent="0.3">
      <c r="A111" s="43">
        <v>49</v>
      </c>
      <c r="B111" s="43"/>
      <c r="C111" s="1"/>
      <c r="D111" s="298">
        <v>2.222090686942058</v>
      </c>
      <c r="E111" s="298">
        <v>0.8231320290067401</v>
      </c>
      <c r="F111" s="298">
        <v>0.54372728367538525</v>
      </c>
      <c r="G111" s="298">
        <v>0.33388586731319231</v>
      </c>
      <c r="H111" s="298">
        <v>0.20472977887589594</v>
      </c>
      <c r="I111" s="298">
        <v>0.16067909526322774</v>
      </c>
      <c r="J111" s="298">
        <v>0.19635848943192444</v>
      </c>
      <c r="K111" s="298">
        <v>0.18022284651166184</v>
      </c>
      <c r="L111" s="298">
        <v>0.15241194609444156</v>
      </c>
      <c r="M111" s="298">
        <v>0.14568078669873447</v>
      </c>
      <c r="N111" s="298">
        <v>0.14316623416465049</v>
      </c>
      <c r="O111" s="298">
        <v>0.11820986355275069</v>
      </c>
      <c r="P111" s="298">
        <v>0.11324661442841535</v>
      </c>
      <c r="Q111" s="298">
        <v>0.10591950094820782</v>
      </c>
      <c r="R111" s="298">
        <v>0.10181373046970461</v>
      </c>
      <c r="S111" s="298">
        <v>0.10181373046970461</v>
      </c>
      <c r="T111" s="298">
        <v>0.10181373046970461</v>
      </c>
      <c r="U111" s="298">
        <v>0.10181373046970461</v>
      </c>
    </row>
    <row r="112" spans="1:21" ht="14.4" x14ac:dyDescent="0.3">
      <c r="A112" s="43">
        <v>50</v>
      </c>
      <c r="B112" s="43"/>
      <c r="C112" s="1"/>
      <c r="D112" s="298">
        <v>0.15658261184107439</v>
      </c>
      <c r="E112" s="298">
        <v>6.9206297258360139E-2</v>
      </c>
      <c r="F112" s="298">
        <v>0.11719738000471913</v>
      </c>
      <c r="G112" s="298">
        <v>9.0950515996728487E-2</v>
      </c>
      <c r="H112" s="298">
        <v>5.6069430808107633E-2</v>
      </c>
      <c r="I112" s="298">
        <v>0.18457651004529252</v>
      </c>
      <c r="J112" s="298">
        <v>0.21861320828195963</v>
      </c>
      <c r="K112" s="298">
        <v>0.14805460867942424</v>
      </c>
      <c r="L112" s="298">
        <v>0.10865726471480185</v>
      </c>
      <c r="M112" s="298">
        <v>8.7921961526698345E-2</v>
      </c>
      <c r="N112" s="298">
        <v>5.8256465500538285E-2</v>
      </c>
      <c r="O112" s="298">
        <v>4.4253058727944716E-2</v>
      </c>
      <c r="P112" s="298">
        <v>3.9509788445304235E-2</v>
      </c>
      <c r="Q112" s="298">
        <v>2.9542651780987427E-2</v>
      </c>
      <c r="R112" s="298">
        <v>2.8071591122090556E-2</v>
      </c>
      <c r="S112" s="298">
        <v>2.8071591122090556E-2</v>
      </c>
      <c r="T112" s="298">
        <v>2.8071591122090556E-2</v>
      </c>
      <c r="U112" s="298">
        <v>2.8071591122090556E-2</v>
      </c>
    </row>
    <row r="113" spans="2:21" x14ac:dyDescent="0.25">
      <c r="D113" s="51"/>
    </row>
    <row r="114" spans="2:21" x14ac:dyDescent="0.25">
      <c r="B114" s="26" t="s">
        <v>5</v>
      </c>
      <c r="D114" s="32">
        <f t="shared" ref="D114:U114" si="7">SQRT(SUMSQ(D64:D112))</f>
        <v>163.93774717643851</v>
      </c>
      <c r="E114" s="32">
        <f t="shared" si="7"/>
        <v>113.48802501155089</v>
      </c>
      <c r="F114" s="32">
        <f t="shared" si="7"/>
        <v>92.201479834948017</v>
      </c>
      <c r="G114" s="32">
        <f t="shared" si="7"/>
        <v>70.914070764570482</v>
      </c>
      <c r="H114" s="32">
        <f t="shared" si="7"/>
        <v>54.750054571794223</v>
      </c>
      <c r="I114" s="32">
        <f t="shared" si="7"/>
        <v>45.409107972180678</v>
      </c>
      <c r="J114" s="32">
        <f t="shared" si="7"/>
        <v>40.452846599409661</v>
      </c>
      <c r="K114" s="32">
        <f t="shared" si="7"/>
        <v>36.567604373048553</v>
      </c>
      <c r="L114" s="32">
        <f t="shared" si="7"/>
        <v>33.722497172696237</v>
      </c>
      <c r="M114" s="32">
        <f t="shared" si="7"/>
        <v>31.537820676686238</v>
      </c>
      <c r="N114" s="32">
        <f t="shared" si="7"/>
        <v>28.353599859458789</v>
      </c>
      <c r="O114" s="32">
        <f t="shared" si="7"/>
        <v>26.003967172553079</v>
      </c>
      <c r="P114" s="32">
        <f t="shared" si="7"/>
        <v>24.160245237926446</v>
      </c>
      <c r="Q114" s="32">
        <f t="shared" si="7"/>
        <v>21.249690073067327</v>
      </c>
      <c r="R114" s="32">
        <f t="shared" si="7"/>
        <v>21.247242746791578</v>
      </c>
      <c r="S114" s="32">
        <f t="shared" si="7"/>
        <v>21.247242746791578</v>
      </c>
      <c r="T114" s="32">
        <f t="shared" si="7"/>
        <v>21.247242746791578</v>
      </c>
      <c r="U114" s="32">
        <f t="shared" si="7"/>
        <v>21.247242746791578</v>
      </c>
    </row>
    <row r="116" spans="2:21" x14ac:dyDescent="0.25">
      <c r="D116" s="32"/>
      <c r="E116" s="32"/>
      <c r="F116" s="32"/>
      <c r="G116" s="32"/>
      <c r="H116" s="32"/>
      <c r="I116" s="32"/>
    </row>
    <row r="118" spans="2:21" x14ac:dyDescent="0.25">
      <c r="D118" s="32"/>
      <c r="E118" s="32"/>
      <c r="F118" s="32"/>
      <c r="G118" s="32"/>
      <c r="H118" s="32"/>
      <c r="I118" s="32"/>
    </row>
  </sheetData>
  <pageMargins left="0.75" right="0.75" top="1" bottom="1" header="0.5" footer="0.5"/>
  <pageSetup scale="86" fitToWidth="2" fitToHeight="2" orientation="portrait" r:id="rId1"/>
  <headerFooter alignWithMargins="0">
    <oddHeader>&amp;R&amp;D
&amp;T
rh</oddHeader>
    <oddFooter>&amp;L&amp;F
&amp;A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U118"/>
  <sheetViews>
    <sheetView workbookViewId="0">
      <selection activeCell="H4" sqref="H4:H53"/>
    </sheetView>
  </sheetViews>
  <sheetFormatPr defaultRowHeight="13.2" x14ac:dyDescent="0.25"/>
  <cols>
    <col min="1" max="6" width="9.109375" style="26"/>
    <col min="7" max="7" width="9.109375" style="26" customWidth="1"/>
    <col min="8" max="8" width="10.6640625" style="26" customWidth="1"/>
    <col min="9" max="262" width="9.109375" style="26"/>
    <col min="263" max="263" width="9.5546875" style="26" bestFit="1" customWidth="1"/>
    <col min="264" max="264" width="10.6640625" style="26" customWidth="1"/>
    <col min="265" max="518" width="9.109375" style="26"/>
    <col min="519" max="519" width="9.5546875" style="26" bestFit="1" customWidth="1"/>
    <col min="520" max="520" width="10.6640625" style="26" customWidth="1"/>
    <col min="521" max="774" width="9.109375" style="26"/>
    <col min="775" max="775" width="9.5546875" style="26" bestFit="1" customWidth="1"/>
    <col min="776" max="776" width="10.6640625" style="26" customWidth="1"/>
    <col min="777" max="1030" width="9.109375" style="26"/>
    <col min="1031" max="1031" width="9.5546875" style="26" bestFit="1" customWidth="1"/>
    <col min="1032" max="1032" width="10.6640625" style="26" customWidth="1"/>
    <col min="1033" max="1286" width="9.109375" style="26"/>
    <col min="1287" max="1287" width="9.5546875" style="26" bestFit="1" customWidth="1"/>
    <col min="1288" max="1288" width="10.6640625" style="26" customWidth="1"/>
    <col min="1289" max="1542" width="9.109375" style="26"/>
    <col min="1543" max="1543" width="9.5546875" style="26" bestFit="1" customWidth="1"/>
    <col min="1544" max="1544" width="10.6640625" style="26" customWidth="1"/>
    <col min="1545" max="1798" width="9.109375" style="26"/>
    <col min="1799" max="1799" width="9.5546875" style="26" bestFit="1" customWidth="1"/>
    <col min="1800" max="1800" width="10.6640625" style="26" customWidth="1"/>
    <col min="1801" max="2054" width="9.109375" style="26"/>
    <col min="2055" max="2055" width="9.5546875" style="26" bestFit="1" customWidth="1"/>
    <col min="2056" max="2056" width="10.6640625" style="26" customWidth="1"/>
    <col min="2057" max="2310" width="9.109375" style="26"/>
    <col min="2311" max="2311" width="9.5546875" style="26" bestFit="1" customWidth="1"/>
    <col min="2312" max="2312" width="10.6640625" style="26" customWidth="1"/>
    <col min="2313" max="2566" width="9.109375" style="26"/>
    <col min="2567" max="2567" width="9.5546875" style="26" bestFit="1" customWidth="1"/>
    <col min="2568" max="2568" width="10.6640625" style="26" customWidth="1"/>
    <col min="2569" max="2822" width="9.109375" style="26"/>
    <col min="2823" max="2823" width="9.5546875" style="26" bestFit="1" customWidth="1"/>
    <col min="2824" max="2824" width="10.6640625" style="26" customWidth="1"/>
    <col min="2825" max="3078" width="9.109375" style="26"/>
    <col min="3079" max="3079" width="9.5546875" style="26" bestFit="1" customWidth="1"/>
    <col min="3080" max="3080" width="10.6640625" style="26" customWidth="1"/>
    <col min="3081" max="3334" width="9.109375" style="26"/>
    <col min="3335" max="3335" width="9.5546875" style="26" bestFit="1" customWidth="1"/>
    <col min="3336" max="3336" width="10.6640625" style="26" customWidth="1"/>
    <col min="3337" max="3590" width="9.109375" style="26"/>
    <col min="3591" max="3591" width="9.5546875" style="26" bestFit="1" customWidth="1"/>
    <col min="3592" max="3592" width="10.6640625" style="26" customWidth="1"/>
    <col min="3593" max="3846" width="9.109375" style="26"/>
    <col min="3847" max="3847" width="9.5546875" style="26" bestFit="1" customWidth="1"/>
    <col min="3848" max="3848" width="10.6640625" style="26" customWidth="1"/>
    <col min="3849" max="4102" width="9.109375" style="26"/>
    <col min="4103" max="4103" width="9.5546875" style="26" bestFit="1" customWidth="1"/>
    <col min="4104" max="4104" width="10.6640625" style="26" customWidth="1"/>
    <col min="4105" max="4358" width="9.109375" style="26"/>
    <col min="4359" max="4359" width="9.5546875" style="26" bestFit="1" customWidth="1"/>
    <col min="4360" max="4360" width="10.6640625" style="26" customWidth="1"/>
    <col min="4361" max="4614" width="9.109375" style="26"/>
    <col min="4615" max="4615" width="9.5546875" style="26" bestFit="1" customWidth="1"/>
    <col min="4616" max="4616" width="10.6640625" style="26" customWidth="1"/>
    <col min="4617" max="4870" width="9.109375" style="26"/>
    <col min="4871" max="4871" width="9.5546875" style="26" bestFit="1" customWidth="1"/>
    <col min="4872" max="4872" width="10.6640625" style="26" customWidth="1"/>
    <col min="4873" max="5126" width="9.109375" style="26"/>
    <col min="5127" max="5127" width="9.5546875" style="26" bestFit="1" customWidth="1"/>
    <col min="5128" max="5128" width="10.6640625" style="26" customWidth="1"/>
    <col min="5129" max="5382" width="9.109375" style="26"/>
    <col min="5383" max="5383" width="9.5546875" style="26" bestFit="1" customWidth="1"/>
    <col min="5384" max="5384" width="10.6640625" style="26" customWidth="1"/>
    <col min="5385" max="5638" width="9.109375" style="26"/>
    <col min="5639" max="5639" width="9.5546875" style="26" bestFit="1" customWidth="1"/>
    <col min="5640" max="5640" width="10.6640625" style="26" customWidth="1"/>
    <col min="5641" max="5894" width="9.109375" style="26"/>
    <col min="5895" max="5895" width="9.5546875" style="26" bestFit="1" customWidth="1"/>
    <col min="5896" max="5896" width="10.6640625" style="26" customWidth="1"/>
    <col min="5897" max="6150" width="9.109375" style="26"/>
    <col min="6151" max="6151" width="9.5546875" style="26" bestFit="1" customWidth="1"/>
    <col min="6152" max="6152" width="10.6640625" style="26" customWidth="1"/>
    <col min="6153" max="6406" width="9.109375" style="26"/>
    <col min="6407" max="6407" width="9.5546875" style="26" bestFit="1" customWidth="1"/>
    <col min="6408" max="6408" width="10.6640625" style="26" customWidth="1"/>
    <col min="6409" max="6662" width="9.109375" style="26"/>
    <col min="6663" max="6663" width="9.5546875" style="26" bestFit="1" customWidth="1"/>
    <col min="6664" max="6664" width="10.6640625" style="26" customWidth="1"/>
    <col min="6665" max="6918" width="9.109375" style="26"/>
    <col min="6919" max="6919" width="9.5546875" style="26" bestFit="1" customWidth="1"/>
    <col min="6920" max="6920" width="10.6640625" style="26" customWidth="1"/>
    <col min="6921" max="7174" width="9.109375" style="26"/>
    <col min="7175" max="7175" width="9.5546875" style="26" bestFit="1" customWidth="1"/>
    <col min="7176" max="7176" width="10.6640625" style="26" customWidth="1"/>
    <col min="7177" max="7430" width="9.109375" style="26"/>
    <col min="7431" max="7431" width="9.5546875" style="26" bestFit="1" customWidth="1"/>
    <col min="7432" max="7432" width="10.6640625" style="26" customWidth="1"/>
    <col min="7433" max="7686" width="9.109375" style="26"/>
    <col min="7687" max="7687" width="9.5546875" style="26" bestFit="1" customWidth="1"/>
    <col min="7688" max="7688" width="10.6640625" style="26" customWidth="1"/>
    <col min="7689" max="7942" width="9.109375" style="26"/>
    <col min="7943" max="7943" width="9.5546875" style="26" bestFit="1" customWidth="1"/>
    <col min="7944" max="7944" width="10.6640625" style="26" customWidth="1"/>
    <col min="7945" max="8198" width="9.109375" style="26"/>
    <col min="8199" max="8199" width="9.5546875" style="26" bestFit="1" customWidth="1"/>
    <col min="8200" max="8200" width="10.6640625" style="26" customWidth="1"/>
    <col min="8201" max="8454" width="9.109375" style="26"/>
    <col min="8455" max="8455" width="9.5546875" style="26" bestFit="1" customWidth="1"/>
    <col min="8456" max="8456" width="10.6640625" style="26" customWidth="1"/>
    <col min="8457" max="8710" width="9.109375" style="26"/>
    <col min="8711" max="8711" width="9.5546875" style="26" bestFit="1" customWidth="1"/>
    <col min="8712" max="8712" width="10.6640625" style="26" customWidth="1"/>
    <col min="8713" max="8966" width="9.109375" style="26"/>
    <col min="8967" max="8967" width="9.5546875" style="26" bestFit="1" customWidth="1"/>
    <col min="8968" max="8968" width="10.6640625" style="26" customWidth="1"/>
    <col min="8969" max="9222" width="9.109375" style="26"/>
    <col min="9223" max="9223" width="9.5546875" style="26" bestFit="1" customWidth="1"/>
    <col min="9224" max="9224" width="10.6640625" style="26" customWidth="1"/>
    <col min="9225" max="9478" width="9.109375" style="26"/>
    <col min="9479" max="9479" width="9.5546875" style="26" bestFit="1" customWidth="1"/>
    <col min="9480" max="9480" width="10.6640625" style="26" customWidth="1"/>
    <col min="9481" max="9734" width="9.109375" style="26"/>
    <col min="9735" max="9735" width="9.5546875" style="26" bestFit="1" customWidth="1"/>
    <col min="9736" max="9736" width="10.6640625" style="26" customWidth="1"/>
    <col min="9737" max="9990" width="9.109375" style="26"/>
    <col min="9991" max="9991" width="9.5546875" style="26" bestFit="1" customWidth="1"/>
    <col min="9992" max="9992" width="10.6640625" style="26" customWidth="1"/>
    <col min="9993" max="10246" width="9.109375" style="26"/>
    <col min="10247" max="10247" width="9.5546875" style="26" bestFit="1" customWidth="1"/>
    <col min="10248" max="10248" width="10.6640625" style="26" customWidth="1"/>
    <col min="10249" max="10502" width="9.109375" style="26"/>
    <col min="10503" max="10503" width="9.5546875" style="26" bestFit="1" customWidth="1"/>
    <col min="10504" max="10504" width="10.6640625" style="26" customWidth="1"/>
    <col min="10505" max="10758" width="9.109375" style="26"/>
    <col min="10759" max="10759" width="9.5546875" style="26" bestFit="1" customWidth="1"/>
    <col min="10760" max="10760" width="10.6640625" style="26" customWidth="1"/>
    <col min="10761" max="11014" width="9.109375" style="26"/>
    <col min="11015" max="11015" width="9.5546875" style="26" bestFit="1" customWidth="1"/>
    <col min="11016" max="11016" width="10.6640625" style="26" customWidth="1"/>
    <col min="11017" max="11270" width="9.109375" style="26"/>
    <col min="11271" max="11271" width="9.5546875" style="26" bestFit="1" customWidth="1"/>
    <col min="11272" max="11272" width="10.6640625" style="26" customWidth="1"/>
    <col min="11273" max="11526" width="9.109375" style="26"/>
    <col min="11527" max="11527" width="9.5546875" style="26" bestFit="1" customWidth="1"/>
    <col min="11528" max="11528" width="10.6640625" style="26" customWidth="1"/>
    <col min="11529" max="11782" width="9.109375" style="26"/>
    <col min="11783" max="11783" width="9.5546875" style="26" bestFit="1" customWidth="1"/>
    <col min="11784" max="11784" width="10.6640625" style="26" customWidth="1"/>
    <col min="11785" max="12038" width="9.109375" style="26"/>
    <col min="12039" max="12039" width="9.5546875" style="26" bestFit="1" customWidth="1"/>
    <col min="12040" max="12040" width="10.6640625" style="26" customWidth="1"/>
    <col min="12041" max="12294" width="9.109375" style="26"/>
    <col min="12295" max="12295" width="9.5546875" style="26" bestFit="1" customWidth="1"/>
    <col min="12296" max="12296" width="10.6640625" style="26" customWidth="1"/>
    <col min="12297" max="12550" width="9.109375" style="26"/>
    <col min="12551" max="12551" width="9.5546875" style="26" bestFit="1" customWidth="1"/>
    <col min="12552" max="12552" width="10.6640625" style="26" customWidth="1"/>
    <col min="12553" max="12806" width="9.109375" style="26"/>
    <col min="12807" max="12807" width="9.5546875" style="26" bestFit="1" customWidth="1"/>
    <col min="12808" max="12808" width="10.6640625" style="26" customWidth="1"/>
    <col min="12809" max="13062" width="9.109375" style="26"/>
    <col min="13063" max="13063" width="9.5546875" style="26" bestFit="1" customWidth="1"/>
    <col min="13064" max="13064" width="10.6640625" style="26" customWidth="1"/>
    <col min="13065" max="13318" width="9.109375" style="26"/>
    <col min="13319" max="13319" width="9.5546875" style="26" bestFit="1" customWidth="1"/>
    <col min="13320" max="13320" width="10.6640625" style="26" customWidth="1"/>
    <col min="13321" max="13574" width="9.109375" style="26"/>
    <col min="13575" max="13575" width="9.5546875" style="26" bestFit="1" customWidth="1"/>
    <col min="13576" max="13576" width="10.6640625" style="26" customWidth="1"/>
    <col min="13577" max="13830" width="9.109375" style="26"/>
    <col min="13831" max="13831" width="9.5546875" style="26" bestFit="1" customWidth="1"/>
    <col min="13832" max="13832" width="10.6640625" style="26" customWidth="1"/>
    <col min="13833" max="14086" width="9.109375" style="26"/>
    <col min="14087" max="14087" width="9.5546875" style="26" bestFit="1" customWidth="1"/>
    <col min="14088" max="14088" width="10.6640625" style="26" customWidth="1"/>
    <col min="14089" max="14342" width="9.109375" style="26"/>
    <col min="14343" max="14343" width="9.5546875" style="26" bestFit="1" customWidth="1"/>
    <col min="14344" max="14344" width="10.6640625" style="26" customWidth="1"/>
    <col min="14345" max="14598" width="9.109375" style="26"/>
    <col min="14599" max="14599" width="9.5546875" style="26" bestFit="1" customWidth="1"/>
    <col min="14600" max="14600" width="10.6640625" style="26" customWidth="1"/>
    <col min="14601" max="14854" width="9.109375" style="26"/>
    <col min="14855" max="14855" width="9.5546875" style="26" bestFit="1" customWidth="1"/>
    <col min="14856" max="14856" width="10.6640625" style="26" customWidth="1"/>
    <col min="14857" max="15110" width="9.109375" style="26"/>
    <col min="15111" max="15111" width="9.5546875" style="26" bestFit="1" customWidth="1"/>
    <col min="15112" max="15112" width="10.6640625" style="26" customWidth="1"/>
    <col min="15113" max="15366" width="9.109375" style="26"/>
    <col min="15367" max="15367" width="9.5546875" style="26" bestFit="1" customWidth="1"/>
    <col min="15368" max="15368" width="10.6640625" style="26" customWidth="1"/>
    <col min="15369" max="15622" width="9.109375" style="26"/>
    <col min="15623" max="15623" width="9.5546875" style="26" bestFit="1" customWidth="1"/>
    <col min="15624" max="15624" width="10.6640625" style="26" customWidth="1"/>
    <col min="15625" max="15878" width="9.109375" style="26"/>
    <col min="15879" max="15879" width="9.5546875" style="26" bestFit="1" customWidth="1"/>
    <col min="15880" max="15880" width="10.6640625" style="26" customWidth="1"/>
    <col min="15881" max="16134" width="9.109375" style="26"/>
    <col min="16135" max="16135" width="9.5546875" style="26" bestFit="1" customWidth="1"/>
    <col min="16136" max="16136" width="10.6640625" style="26" customWidth="1"/>
    <col min="16137" max="16384" width="9.109375" style="26"/>
  </cols>
  <sheetData>
    <row r="1" spans="1:15" ht="13.8" thickBot="1" x14ac:dyDescent="0.3">
      <c r="A1" s="84" t="s">
        <v>282</v>
      </c>
      <c r="B1" s="275" t="s">
        <v>402</v>
      </c>
      <c r="C1" s="33">
        <f>Drives!BA22</f>
        <v>38490.017945975058</v>
      </c>
      <c r="D1" s="28" t="s">
        <v>7</v>
      </c>
      <c r="E1" s="300">
        <v>8</v>
      </c>
      <c r="F1" s="301">
        <f>MAX(0.1,E1+100/C1)</f>
        <v>8.0025980762113527</v>
      </c>
      <c r="G1" s="36" t="s">
        <v>1</v>
      </c>
      <c r="H1" s="29">
        <f>IF(J1=0,0,H4/J1)</f>
        <v>0</v>
      </c>
      <c r="I1" s="54" t="s">
        <v>94</v>
      </c>
      <c r="J1" s="34">
        <f>Drives!Z22</f>
        <v>0</v>
      </c>
      <c r="K1" s="26" t="s">
        <v>84</v>
      </c>
      <c r="N1" s="254">
        <v>0.96</v>
      </c>
      <c r="O1" s="26" t="s">
        <v>176</v>
      </c>
    </row>
    <row r="2" spans="1:15" x14ac:dyDescent="0.25">
      <c r="A2" s="269" t="s">
        <v>88</v>
      </c>
      <c r="B2" s="276">
        <v>22</v>
      </c>
      <c r="D2" s="26">
        <f>C4+1</f>
        <v>10</v>
      </c>
      <c r="E2" s="41">
        <f>F1-C3</f>
        <v>2.5980762113526623E-3</v>
      </c>
      <c r="F2" s="36"/>
      <c r="G2" s="36"/>
      <c r="J2" s="29">
        <f>IF(J1&gt;=0.6, 0.7+(J1-0.6)*0.75, IF(J1&gt;=0.2, 0.3+(J1-0.2)*1, J1*1.5))</f>
        <v>0</v>
      </c>
      <c r="K2" s="26" t="s">
        <v>60</v>
      </c>
    </row>
    <row r="3" spans="1:15" ht="13.8" thickBot="1" x14ac:dyDescent="0.3">
      <c r="A3" s="270" t="s">
        <v>365</v>
      </c>
      <c r="C3" s="41">
        <f>HLOOKUP($F$1,$D$62:$U$113,(B3+1))</f>
        <v>8</v>
      </c>
      <c r="D3" s="41">
        <f>HLOOKUP($D$2,$D$61:$U$113,(B3+2))</f>
        <v>10</v>
      </c>
      <c r="E3" s="26">
        <f>D3-C3</f>
        <v>2</v>
      </c>
      <c r="F3" s="26">
        <f>IF(E3=0,1,E2/E3)</f>
        <v>1.2990381056763312E-3</v>
      </c>
      <c r="G3" s="32">
        <f>C3+(E3*F3)</f>
        <v>8.0025980762113527</v>
      </c>
      <c r="J3" s="31"/>
    </row>
    <row r="4" spans="1:15" ht="13.8" thickBot="1" x14ac:dyDescent="0.3">
      <c r="A4" s="31" t="s">
        <v>90</v>
      </c>
      <c r="B4" s="26">
        <v>1</v>
      </c>
      <c r="C4" s="302">
        <f t="shared" ref="C4:C53" si="0">HLOOKUP($F$1,$D$62:$U$113,(B4+1))</f>
        <v>9</v>
      </c>
      <c r="D4" s="302">
        <f t="shared" ref="D4:D53" si="1">HLOOKUP($D$2,$D$61:$U$113,(B4+2))</f>
        <v>10</v>
      </c>
      <c r="G4" s="27">
        <v>100</v>
      </c>
      <c r="H4" s="34">
        <f>Drives!AR22</f>
        <v>0</v>
      </c>
      <c r="I4" s="26" t="s">
        <v>53</v>
      </c>
    </row>
    <row r="5" spans="1:15" x14ac:dyDescent="0.25">
      <c r="A5" s="31"/>
      <c r="B5" s="26">
        <v>2</v>
      </c>
      <c r="C5" s="52">
        <f t="shared" si="0"/>
        <v>1.2571907703050382E-2</v>
      </c>
      <c r="D5" s="52">
        <f t="shared" si="1"/>
        <v>2.636287592484499E-2</v>
      </c>
      <c r="E5" s="48">
        <f t="shared" ref="E5:E53" si="2">D5-C5</f>
        <v>1.3790968221794608E-2</v>
      </c>
      <c r="F5" s="48">
        <f t="shared" ref="F5:F53" si="3">E5*$F$3</f>
        <v>1.7914993234282548E-5</v>
      </c>
      <c r="G5" s="48">
        <f t="shared" ref="G5:G53" si="4">C5+F5</f>
        <v>1.2589822696284664E-2</v>
      </c>
      <c r="H5" s="30">
        <f>J$2*G5*$H$1/100</f>
        <v>0</v>
      </c>
    </row>
    <row r="6" spans="1:15" x14ac:dyDescent="0.25">
      <c r="A6" s="270" t="s">
        <v>406</v>
      </c>
      <c r="B6" s="26">
        <v>3</v>
      </c>
      <c r="C6" s="52">
        <f t="shared" si="0"/>
        <v>2.8652501742303245</v>
      </c>
      <c r="D6" s="52">
        <f t="shared" si="1"/>
        <v>1.976424393859703</v>
      </c>
      <c r="E6" s="48">
        <f t="shared" si="2"/>
        <v>-0.88882578037062143</v>
      </c>
      <c r="F6" s="48">
        <f t="shared" si="3"/>
        <v>-1.1546185580089388E-3</v>
      </c>
      <c r="G6" s="48">
        <f t="shared" si="4"/>
        <v>2.8640955556723156</v>
      </c>
      <c r="H6" s="30">
        <f t="shared" ref="H6:H53" si="5">J$2*G6*$H$1/100</f>
        <v>0</v>
      </c>
    </row>
    <row r="7" spans="1:15" x14ac:dyDescent="0.25">
      <c r="A7" s="270" t="s">
        <v>92</v>
      </c>
      <c r="B7" s="26">
        <v>4</v>
      </c>
      <c r="C7" s="52">
        <f t="shared" si="0"/>
        <v>1.4672119245636975E-2</v>
      </c>
      <c r="D7" s="52">
        <f t="shared" si="1"/>
        <v>3.4977738354405041E-3</v>
      </c>
      <c r="E7" s="48">
        <f t="shared" si="2"/>
        <v>-1.1174345410196471E-2</v>
      </c>
      <c r="F7" s="48">
        <f t="shared" si="3"/>
        <v>-1.4515900493834629E-5</v>
      </c>
      <c r="G7" s="48">
        <f t="shared" si="4"/>
        <v>1.465760334514314E-2</v>
      </c>
      <c r="H7" s="30">
        <f t="shared" si="5"/>
        <v>0</v>
      </c>
    </row>
    <row r="8" spans="1:15" x14ac:dyDescent="0.25">
      <c r="A8" s="50"/>
      <c r="B8" s="26">
        <v>5</v>
      </c>
      <c r="C8" s="52">
        <f t="shared" si="0"/>
        <v>29.833911528390878</v>
      </c>
      <c r="D8" s="52">
        <f t="shared" si="1"/>
        <v>26.829447444032468</v>
      </c>
      <c r="E8" s="48">
        <f t="shared" si="2"/>
        <v>-3.0044640843584105</v>
      </c>
      <c r="F8" s="48">
        <f t="shared" si="3"/>
        <v>-3.9029133327175224E-3</v>
      </c>
      <c r="G8" s="48">
        <f t="shared" si="4"/>
        <v>29.830008615058162</v>
      </c>
      <c r="H8" s="30">
        <f t="shared" si="5"/>
        <v>0</v>
      </c>
    </row>
    <row r="9" spans="1:15" x14ac:dyDescent="0.25">
      <c r="A9" s="50"/>
      <c r="B9" s="26">
        <v>6</v>
      </c>
      <c r="C9" s="52">
        <f t="shared" si="0"/>
        <v>7.3330327729595772E-3</v>
      </c>
      <c r="D9" s="52">
        <f t="shared" si="1"/>
        <v>4.9368015428742544E-3</v>
      </c>
      <c r="E9" s="48">
        <f t="shared" si="2"/>
        <v>-2.3962312300853227E-3</v>
      </c>
      <c r="F9" s="48">
        <f t="shared" si="3"/>
        <v>-3.1127956778925025E-6</v>
      </c>
      <c r="G9" s="48">
        <f t="shared" si="4"/>
        <v>7.3299199772816842E-3</v>
      </c>
      <c r="H9" s="30">
        <f t="shared" si="5"/>
        <v>0</v>
      </c>
    </row>
    <row r="10" spans="1:15" x14ac:dyDescent="0.25">
      <c r="B10" s="26">
        <v>7</v>
      </c>
      <c r="C10" s="52">
        <f t="shared" si="0"/>
        <v>6.8022663683683335</v>
      </c>
      <c r="D10" s="52">
        <f t="shared" si="1"/>
        <v>6.5166708279323533</v>
      </c>
      <c r="E10" s="48">
        <f t="shared" si="2"/>
        <v>-0.28559554043598023</v>
      </c>
      <c r="F10" s="48">
        <f t="shared" si="3"/>
        <v>-3.709994898375638E-4</v>
      </c>
      <c r="G10" s="48">
        <f t="shared" si="4"/>
        <v>6.8018953688784958</v>
      </c>
      <c r="H10" s="30">
        <f t="shared" si="5"/>
        <v>0</v>
      </c>
    </row>
    <row r="11" spans="1:15" x14ac:dyDescent="0.25">
      <c r="B11" s="26">
        <v>8</v>
      </c>
      <c r="C11" s="52">
        <f t="shared" si="0"/>
        <v>4.3473848598230228E-3</v>
      </c>
      <c r="D11" s="52">
        <f t="shared" si="1"/>
        <v>2.5415807506222721E-3</v>
      </c>
      <c r="E11" s="48">
        <f t="shared" si="2"/>
        <v>-1.8058041092007507E-3</v>
      </c>
      <c r="F11" s="48">
        <f t="shared" si="3"/>
        <v>-2.345808349238678E-6</v>
      </c>
      <c r="G11" s="48">
        <f t="shared" si="4"/>
        <v>4.3450390514737838E-3</v>
      </c>
      <c r="H11" s="30">
        <f t="shared" si="5"/>
        <v>0</v>
      </c>
    </row>
    <row r="12" spans="1:15" x14ac:dyDescent="0.25">
      <c r="B12" s="26">
        <v>9</v>
      </c>
      <c r="C12" s="52">
        <f t="shared" si="0"/>
        <v>0.50610374236669098</v>
      </c>
      <c r="D12" s="52">
        <f t="shared" si="1"/>
        <v>0.31868142208094846</v>
      </c>
      <c r="E12" s="48">
        <f t="shared" si="2"/>
        <v>-0.18742232028574252</v>
      </c>
      <c r="F12" s="48">
        <f t="shared" si="3"/>
        <v>-2.4346873590545357E-4</v>
      </c>
      <c r="G12" s="48">
        <f t="shared" si="4"/>
        <v>0.50586027363078556</v>
      </c>
      <c r="H12" s="30">
        <f t="shared" si="5"/>
        <v>0</v>
      </c>
    </row>
    <row r="13" spans="1:15" x14ac:dyDescent="0.25">
      <c r="B13" s="26">
        <v>10</v>
      </c>
      <c r="C13" s="52">
        <f t="shared" si="0"/>
        <v>9.5446111698385379E-4</v>
      </c>
      <c r="D13" s="52">
        <f t="shared" si="1"/>
        <v>5.9000829249238182E-3</v>
      </c>
      <c r="E13" s="48">
        <f t="shared" si="2"/>
        <v>4.9456218079399639E-3</v>
      </c>
      <c r="F13" s="48">
        <f t="shared" si="3"/>
        <v>6.4245511847778831E-6</v>
      </c>
      <c r="G13" s="48">
        <f t="shared" si="4"/>
        <v>9.6088566816863172E-4</v>
      </c>
      <c r="H13" s="30">
        <f t="shared" si="5"/>
        <v>0</v>
      </c>
    </row>
    <row r="14" spans="1:15" x14ac:dyDescent="0.25">
      <c r="B14" s="26">
        <v>11</v>
      </c>
      <c r="C14" s="52">
        <f t="shared" si="0"/>
        <v>5.6151234987755405</v>
      </c>
      <c r="D14" s="52">
        <f t="shared" si="1"/>
        <v>4.7731220793376856</v>
      </c>
      <c r="E14" s="48">
        <f t="shared" si="2"/>
        <v>-0.84200141943785489</v>
      </c>
      <c r="F14" s="48">
        <f t="shared" si="3"/>
        <v>-1.0937919288833329E-3</v>
      </c>
      <c r="G14" s="48">
        <f t="shared" si="4"/>
        <v>5.6140297068466571</v>
      </c>
      <c r="H14" s="30">
        <f t="shared" si="5"/>
        <v>0</v>
      </c>
    </row>
    <row r="15" spans="1:15" x14ac:dyDescent="0.25">
      <c r="B15" s="26">
        <v>12</v>
      </c>
      <c r="C15" s="52">
        <f t="shared" si="0"/>
        <v>2.8137542278655172E-3</v>
      </c>
      <c r="D15" s="52">
        <f t="shared" si="1"/>
        <v>3.3387817150023614E-3</v>
      </c>
      <c r="E15" s="48">
        <f t="shared" si="2"/>
        <v>5.2502748713684428E-4</v>
      </c>
      <c r="F15" s="48">
        <f t="shared" si="3"/>
        <v>6.8203071231825052E-7</v>
      </c>
      <c r="G15" s="48">
        <f t="shared" si="4"/>
        <v>2.8144362585778354E-3</v>
      </c>
      <c r="H15" s="30">
        <f t="shared" si="5"/>
        <v>0</v>
      </c>
    </row>
    <row r="16" spans="1:15" x14ac:dyDescent="0.25">
      <c r="B16" s="26">
        <v>13</v>
      </c>
      <c r="C16" s="52">
        <f t="shared" si="0"/>
        <v>3.1114405010378423</v>
      </c>
      <c r="D16" s="52">
        <f t="shared" si="1"/>
        <v>2.9413990501469054</v>
      </c>
      <c r="E16" s="48">
        <f t="shared" si="2"/>
        <v>-0.17004145089093692</v>
      </c>
      <c r="F16" s="48">
        <f t="shared" si="3"/>
        <v>-2.208903242518176E-4</v>
      </c>
      <c r="G16" s="48">
        <f t="shared" si="4"/>
        <v>3.1112196107135905</v>
      </c>
      <c r="H16" s="30">
        <f t="shared" si="5"/>
        <v>0</v>
      </c>
    </row>
    <row r="17" spans="2:8" x14ac:dyDescent="0.25">
      <c r="B17" s="26">
        <v>14</v>
      </c>
      <c r="C17" s="52">
        <f t="shared" si="0"/>
        <v>6.7573395777536377E-3</v>
      </c>
      <c r="D17" s="52">
        <f t="shared" si="1"/>
        <v>6.0541163970223889E-3</v>
      </c>
      <c r="E17" s="48">
        <f t="shared" si="2"/>
        <v>-7.0322318073124876E-4</v>
      </c>
      <c r="F17" s="48">
        <f t="shared" si="3"/>
        <v>-9.1351370856480568E-7</v>
      </c>
      <c r="G17" s="48">
        <f t="shared" si="4"/>
        <v>6.7564260640450725E-3</v>
      </c>
      <c r="H17" s="30">
        <f t="shared" si="5"/>
        <v>0</v>
      </c>
    </row>
    <row r="18" spans="2:8" x14ac:dyDescent="0.25">
      <c r="B18" s="26">
        <v>15</v>
      </c>
      <c r="C18" s="52">
        <f t="shared" si="0"/>
        <v>0.24590737646040681</v>
      </c>
      <c r="D18" s="52">
        <f t="shared" si="1"/>
        <v>0.17863761703347875</v>
      </c>
      <c r="E18" s="48">
        <f t="shared" si="2"/>
        <v>-6.7269759426928061E-2</v>
      </c>
      <c r="F18" s="48">
        <f t="shared" si="3"/>
        <v>-8.7385980855259147E-5</v>
      </c>
      <c r="G18" s="48">
        <f t="shared" si="4"/>
        <v>0.24581999047955155</v>
      </c>
      <c r="H18" s="30">
        <f t="shared" si="5"/>
        <v>0</v>
      </c>
    </row>
    <row r="19" spans="2:8" x14ac:dyDescent="0.25">
      <c r="B19" s="26">
        <v>16</v>
      </c>
      <c r="C19" s="52">
        <f t="shared" si="0"/>
        <v>4.9258459762198314E-3</v>
      </c>
      <c r="D19" s="52">
        <f t="shared" si="1"/>
        <v>1.5412362332936629E-3</v>
      </c>
      <c r="E19" s="48">
        <f t="shared" si="2"/>
        <v>-3.3846097429261687E-3</v>
      </c>
      <c r="F19" s="48">
        <f t="shared" si="3"/>
        <v>-4.3967370289044642E-6</v>
      </c>
      <c r="G19" s="48">
        <f t="shared" si="4"/>
        <v>4.9214492391909271E-3</v>
      </c>
      <c r="H19" s="30">
        <f t="shared" si="5"/>
        <v>0</v>
      </c>
    </row>
    <row r="20" spans="2:8" x14ac:dyDescent="0.25">
      <c r="B20" s="26">
        <v>17</v>
      </c>
      <c r="C20" s="52">
        <f t="shared" si="0"/>
        <v>1.850567348179557</v>
      </c>
      <c r="D20" s="52">
        <f t="shared" si="1"/>
        <v>1.5324828885585096</v>
      </c>
      <c r="E20" s="48">
        <f t="shared" si="2"/>
        <v>-0.31808445962104748</v>
      </c>
      <c r="F20" s="48">
        <f t="shared" si="3"/>
        <v>-4.1320383387120495E-4</v>
      </c>
      <c r="G20" s="48">
        <f t="shared" si="4"/>
        <v>1.8501541443456859</v>
      </c>
      <c r="H20" s="30">
        <f t="shared" si="5"/>
        <v>0</v>
      </c>
    </row>
    <row r="21" spans="2:8" x14ac:dyDescent="0.25">
      <c r="B21" s="26">
        <v>18</v>
      </c>
      <c r="C21" s="52">
        <f t="shared" si="0"/>
        <v>3.4207800467921257E-3</v>
      </c>
      <c r="D21" s="52">
        <f t="shared" si="1"/>
        <v>2.3022193218101682E-3</v>
      </c>
      <c r="E21" s="48">
        <f t="shared" si="2"/>
        <v>-1.1185607249819575E-3</v>
      </c>
      <c r="F21" s="48">
        <f t="shared" si="3"/>
        <v>-1.4530530052645057E-6</v>
      </c>
      <c r="G21" s="48">
        <f t="shared" si="4"/>
        <v>3.4193269937868613E-3</v>
      </c>
      <c r="H21" s="30">
        <f t="shared" si="5"/>
        <v>0</v>
      </c>
    </row>
    <row r="22" spans="2:8" x14ac:dyDescent="0.25">
      <c r="B22" s="26">
        <v>19</v>
      </c>
      <c r="C22" s="52">
        <f t="shared" si="0"/>
        <v>1.5015094716885002</v>
      </c>
      <c r="D22" s="52">
        <f t="shared" si="1"/>
        <v>1.1978760529333901</v>
      </c>
      <c r="E22" s="48">
        <f t="shared" si="2"/>
        <v>-0.30363341875511018</v>
      </c>
      <c r="F22" s="48">
        <f t="shared" si="3"/>
        <v>-3.9443138111966653E-4</v>
      </c>
      <c r="G22" s="48">
        <f t="shared" si="4"/>
        <v>1.5011150403073805</v>
      </c>
      <c r="H22" s="30">
        <f t="shared" si="5"/>
        <v>0</v>
      </c>
    </row>
    <row r="23" spans="2:8" x14ac:dyDescent="0.25">
      <c r="B23" s="26">
        <v>20</v>
      </c>
      <c r="C23" s="52">
        <f t="shared" si="0"/>
        <v>3.9990621565117561E-3</v>
      </c>
      <c r="D23" s="52">
        <f t="shared" si="1"/>
        <v>4.289924599988241E-3</v>
      </c>
      <c r="E23" s="48">
        <f t="shared" si="2"/>
        <v>2.9086244347648494E-4</v>
      </c>
      <c r="F23" s="48">
        <f t="shared" si="3"/>
        <v>3.7784139758608193E-7</v>
      </c>
      <c r="G23" s="48">
        <f t="shared" si="4"/>
        <v>3.9994399979093424E-3</v>
      </c>
      <c r="H23" s="30">
        <f t="shared" si="5"/>
        <v>0</v>
      </c>
    </row>
    <row r="24" spans="2:8" x14ac:dyDescent="0.25">
      <c r="B24" s="26">
        <v>21</v>
      </c>
      <c r="C24" s="52">
        <f t="shared" si="0"/>
        <v>0.20143664947276263</v>
      </c>
      <c r="D24" s="52">
        <f t="shared" si="1"/>
        <v>0.14886071320433725</v>
      </c>
      <c r="E24" s="48">
        <f t="shared" si="2"/>
        <v>-5.2575936268425383E-2</v>
      </c>
      <c r="F24" s="48">
        <f t="shared" si="3"/>
        <v>-6.8298144654294825E-5</v>
      </c>
      <c r="G24" s="48">
        <f t="shared" si="4"/>
        <v>0.20136835132810835</v>
      </c>
      <c r="H24" s="30">
        <f t="shared" si="5"/>
        <v>0</v>
      </c>
    </row>
    <row r="25" spans="2:8" x14ac:dyDescent="0.25">
      <c r="B25" s="26">
        <v>22</v>
      </c>
      <c r="C25" s="52">
        <f t="shared" si="0"/>
        <v>2.8422690440152187E-3</v>
      </c>
      <c r="D25" s="52">
        <f t="shared" si="1"/>
        <v>1.7693174251628295E-3</v>
      </c>
      <c r="E25" s="48">
        <f t="shared" si="2"/>
        <v>-1.0729516188523892E-3</v>
      </c>
      <c r="F25" s="48">
        <f t="shared" si="3"/>
        <v>-1.3938050384363606E-6</v>
      </c>
      <c r="G25" s="48">
        <f t="shared" si="4"/>
        <v>2.8408752389767825E-3</v>
      </c>
      <c r="H25" s="30">
        <f t="shared" si="5"/>
        <v>0</v>
      </c>
    </row>
    <row r="26" spans="2:8" x14ac:dyDescent="0.25">
      <c r="B26" s="26">
        <v>23</v>
      </c>
      <c r="C26" s="52">
        <f t="shared" si="0"/>
        <v>0.98668776275695924</v>
      </c>
      <c r="D26" s="52">
        <f t="shared" si="1"/>
        <v>0.97151910927620677</v>
      </c>
      <c r="E26" s="48">
        <f t="shared" si="2"/>
        <v>-1.516865348075247E-2</v>
      </c>
      <c r="F26" s="48">
        <f t="shared" si="3"/>
        <v>-1.9704658883297375E-5</v>
      </c>
      <c r="G26" s="48">
        <f t="shared" si="4"/>
        <v>0.9866680580980759</v>
      </c>
      <c r="H26" s="30">
        <f t="shared" si="5"/>
        <v>0</v>
      </c>
    </row>
    <row r="27" spans="2:8" x14ac:dyDescent="0.25">
      <c r="B27" s="26">
        <v>24</v>
      </c>
      <c r="C27" s="52">
        <f t="shared" si="0"/>
        <v>3.1075268606800422E-3</v>
      </c>
      <c r="D27" s="52">
        <f t="shared" si="1"/>
        <v>1.6642059470906843E-3</v>
      </c>
      <c r="E27" s="48">
        <f t="shared" si="2"/>
        <v>-1.4433209135893579E-3</v>
      </c>
      <c r="F27" s="48">
        <f t="shared" si="3"/>
        <v>-1.8749288654721512E-6</v>
      </c>
      <c r="G27" s="48">
        <f t="shared" si="4"/>
        <v>3.10565193181457E-3</v>
      </c>
      <c r="H27" s="30">
        <f t="shared" si="5"/>
        <v>0</v>
      </c>
    </row>
    <row r="28" spans="2:8" x14ac:dyDescent="0.25">
      <c r="B28" s="26">
        <v>25</v>
      </c>
      <c r="C28" s="52">
        <f t="shared" si="0"/>
        <v>0.680943962179267</v>
      </c>
      <c r="D28" s="52">
        <f t="shared" si="1"/>
        <v>0.60410783726699213</v>
      </c>
      <c r="E28" s="48">
        <f t="shared" si="2"/>
        <v>-7.6836124912274872E-2</v>
      </c>
      <c r="F28" s="48">
        <f t="shared" si="3"/>
        <v>-9.9813054153551504E-5</v>
      </c>
      <c r="G28" s="48">
        <f t="shared" si="4"/>
        <v>0.68084414912511348</v>
      </c>
      <c r="H28" s="30">
        <f t="shared" si="5"/>
        <v>0</v>
      </c>
    </row>
    <row r="29" spans="2:8" x14ac:dyDescent="0.25">
      <c r="B29" s="26">
        <v>26</v>
      </c>
      <c r="C29" s="52">
        <f t="shared" si="0"/>
        <v>6.3586835670058186E-3</v>
      </c>
      <c r="D29" s="52">
        <f t="shared" si="1"/>
        <v>5.7283366829020497E-3</v>
      </c>
      <c r="E29" s="48">
        <f t="shared" si="2"/>
        <v>-6.3034688410376887E-4</v>
      </c>
      <c r="F29" s="48">
        <f t="shared" si="3"/>
        <v>-8.1884462224513777E-7</v>
      </c>
      <c r="G29" s="48">
        <f t="shared" si="4"/>
        <v>6.3578647223835735E-3</v>
      </c>
      <c r="H29" s="30">
        <f t="shared" si="5"/>
        <v>0</v>
      </c>
    </row>
    <row r="30" spans="2:8" x14ac:dyDescent="0.25">
      <c r="B30" s="26">
        <v>27</v>
      </c>
      <c r="C30" s="52">
        <f t="shared" si="0"/>
        <v>0.15760505021576746</v>
      </c>
      <c r="D30" s="52">
        <f t="shared" si="1"/>
        <v>9.9377043514666238E-2</v>
      </c>
      <c r="E30" s="48">
        <f t="shared" si="2"/>
        <v>-5.8228006701101218E-2</v>
      </c>
      <c r="F30" s="48">
        <f t="shared" si="3"/>
        <v>-7.5640399522307247E-5</v>
      </c>
      <c r="G30" s="48">
        <f t="shared" si="4"/>
        <v>0.15752940981624514</v>
      </c>
      <c r="H30" s="30">
        <f t="shared" si="5"/>
        <v>0</v>
      </c>
    </row>
    <row r="31" spans="2:8" x14ac:dyDescent="0.25">
      <c r="B31" s="26">
        <v>28</v>
      </c>
      <c r="C31" s="52">
        <f t="shared" si="0"/>
        <v>3.3090135809581808E-3</v>
      </c>
      <c r="D31" s="52">
        <f t="shared" si="1"/>
        <v>8.4429509332862738E-4</v>
      </c>
      <c r="E31" s="48">
        <f t="shared" si="2"/>
        <v>-2.4647184876295533E-3</v>
      </c>
      <c r="F31" s="48">
        <f t="shared" si="3"/>
        <v>-3.201763235195727E-6</v>
      </c>
      <c r="G31" s="48">
        <f t="shared" si="4"/>
        <v>3.3058118177229853E-3</v>
      </c>
      <c r="H31" s="30">
        <f t="shared" si="5"/>
        <v>0</v>
      </c>
    </row>
    <row r="32" spans="2:8" x14ac:dyDescent="0.25">
      <c r="B32" s="26">
        <v>29</v>
      </c>
      <c r="C32" s="52">
        <f t="shared" si="0"/>
        <v>0.72478506133268517</v>
      </c>
      <c r="D32" s="52">
        <f t="shared" si="1"/>
        <v>0.61840577400138186</v>
      </c>
      <c r="E32" s="48">
        <f t="shared" si="2"/>
        <v>-0.10637928733130331</v>
      </c>
      <c r="F32" s="48">
        <f t="shared" si="3"/>
        <v>-1.3819074789805439E-4</v>
      </c>
      <c r="G32" s="48">
        <f t="shared" si="4"/>
        <v>0.72464687058478716</v>
      </c>
      <c r="H32" s="30">
        <f t="shared" si="5"/>
        <v>0</v>
      </c>
    </row>
    <row r="33" spans="2:8" x14ac:dyDescent="0.25">
      <c r="B33" s="26">
        <v>30</v>
      </c>
      <c r="C33" s="52">
        <f t="shared" si="0"/>
        <v>2.8717553777810353E-3</v>
      </c>
      <c r="D33" s="52">
        <f t="shared" si="1"/>
        <v>2.6821760992090326E-3</v>
      </c>
      <c r="E33" s="48">
        <f t="shared" si="2"/>
        <v>-1.8957927857200275E-4</v>
      </c>
      <c r="F33" s="48">
        <f t="shared" si="3"/>
        <v>-2.4627070691165993E-7</v>
      </c>
      <c r="G33" s="48">
        <f t="shared" si="4"/>
        <v>2.8715091070741238E-3</v>
      </c>
      <c r="H33" s="30">
        <f t="shared" si="5"/>
        <v>0</v>
      </c>
    </row>
    <row r="34" spans="2:8" x14ac:dyDescent="0.25">
      <c r="B34" s="26">
        <v>31</v>
      </c>
      <c r="C34" s="52">
        <f t="shared" si="0"/>
        <v>0.43056874893088998</v>
      </c>
      <c r="D34" s="52">
        <f t="shared" si="1"/>
        <v>0.43268010175951643</v>
      </c>
      <c r="E34" s="48">
        <f t="shared" si="2"/>
        <v>2.111352828626456E-3</v>
      </c>
      <c r="F34" s="48">
        <f t="shared" si="3"/>
        <v>2.7427277789132749E-6</v>
      </c>
      <c r="G34" s="48">
        <f t="shared" si="4"/>
        <v>0.43057149165866887</v>
      </c>
      <c r="H34" s="30">
        <f t="shared" si="5"/>
        <v>0</v>
      </c>
    </row>
    <row r="35" spans="2:8" x14ac:dyDescent="0.25">
      <c r="B35" s="26">
        <v>32</v>
      </c>
      <c r="C35" s="52">
        <f t="shared" si="0"/>
        <v>5.9187663071225798E-3</v>
      </c>
      <c r="D35" s="52">
        <f t="shared" si="1"/>
        <v>4.587462629749072E-3</v>
      </c>
      <c r="E35" s="48">
        <f t="shared" si="2"/>
        <v>-1.3313036773735078E-3</v>
      </c>
      <c r="F35" s="48">
        <f t="shared" si="3"/>
        <v>-1.7294142071352151E-6</v>
      </c>
      <c r="G35" s="48">
        <f t="shared" si="4"/>
        <v>5.9170368929154444E-3</v>
      </c>
      <c r="H35" s="30">
        <f t="shared" si="5"/>
        <v>0</v>
      </c>
    </row>
    <row r="36" spans="2:8" x14ac:dyDescent="0.25">
      <c r="B36" s="26">
        <v>33</v>
      </c>
      <c r="C36" s="52">
        <f t="shared" si="0"/>
        <v>0.11558930646976719</v>
      </c>
      <c r="D36" s="52">
        <f t="shared" si="1"/>
        <v>8.4151409301761251E-2</v>
      </c>
      <c r="E36" s="48">
        <f t="shared" si="2"/>
        <v>-3.1437897168005935E-2</v>
      </c>
      <c r="F36" s="48">
        <f t="shared" si="3"/>
        <v>-4.0839026383573725E-5</v>
      </c>
      <c r="G36" s="48">
        <f t="shared" si="4"/>
        <v>0.11554846744338361</v>
      </c>
      <c r="H36" s="30">
        <f t="shared" si="5"/>
        <v>0</v>
      </c>
    </row>
    <row r="37" spans="2:8" x14ac:dyDescent="0.25">
      <c r="B37" s="26">
        <v>34</v>
      </c>
      <c r="C37" s="52">
        <f t="shared" si="0"/>
        <v>8.7921961526698345E-2</v>
      </c>
      <c r="D37" s="52">
        <f t="shared" si="1"/>
        <v>5.8256465500538285E-2</v>
      </c>
      <c r="E37" s="48">
        <f t="shared" si="2"/>
        <v>-2.966549602616006E-2</v>
      </c>
      <c r="F37" s="48">
        <f t="shared" si="3"/>
        <v>-3.8536609761771693E-5</v>
      </c>
      <c r="G37" s="48">
        <f t="shared" si="4"/>
        <v>8.788342491693657E-2</v>
      </c>
      <c r="H37" s="30">
        <f t="shared" si="5"/>
        <v>0</v>
      </c>
    </row>
    <row r="38" spans="2:8" x14ac:dyDescent="0.25">
      <c r="B38" s="26">
        <v>35</v>
      </c>
      <c r="C38" s="52">
        <f t="shared" si="0"/>
        <v>0.48796466250698262</v>
      </c>
      <c r="D38" s="52">
        <f t="shared" si="1"/>
        <v>0.39029335703643686</v>
      </c>
      <c r="E38" s="48">
        <f t="shared" si="2"/>
        <v>-9.7671305470545755E-2</v>
      </c>
      <c r="F38" s="48">
        <f t="shared" si="3"/>
        <v>-1.2687874763739205E-4</v>
      </c>
      <c r="G38" s="48">
        <f t="shared" si="4"/>
        <v>0.48783778375934522</v>
      </c>
      <c r="H38" s="30">
        <f t="shared" si="5"/>
        <v>0</v>
      </c>
    </row>
    <row r="39" spans="2:8" x14ac:dyDescent="0.25">
      <c r="B39" s="26">
        <v>36</v>
      </c>
      <c r="C39" s="52">
        <f t="shared" si="0"/>
        <v>8.7921961526698345E-2</v>
      </c>
      <c r="D39" s="52">
        <f t="shared" si="1"/>
        <v>5.8256465500538285E-2</v>
      </c>
      <c r="E39" s="48">
        <f t="shared" si="2"/>
        <v>-2.966549602616006E-2</v>
      </c>
      <c r="F39" s="48">
        <f t="shared" si="3"/>
        <v>-3.8536609761771693E-5</v>
      </c>
      <c r="G39" s="48">
        <f t="shared" si="4"/>
        <v>8.788342491693657E-2</v>
      </c>
      <c r="H39" s="30">
        <f t="shared" si="5"/>
        <v>0</v>
      </c>
    </row>
    <row r="40" spans="2:8" x14ac:dyDescent="0.25">
      <c r="B40" s="26">
        <v>37</v>
      </c>
      <c r="C40" s="52">
        <f t="shared" si="0"/>
        <v>0.31458122808120276</v>
      </c>
      <c r="D40" s="52">
        <f t="shared" si="1"/>
        <v>0.26038899134139826</v>
      </c>
      <c r="E40" s="48">
        <f t="shared" si="2"/>
        <v>-5.41922367398045E-2</v>
      </c>
      <c r="F40" s="48">
        <f t="shared" si="3"/>
        <v>-7.0397780556838915E-5</v>
      </c>
      <c r="G40" s="48">
        <f t="shared" si="4"/>
        <v>0.31451083030064592</v>
      </c>
      <c r="H40" s="30">
        <f t="shared" si="5"/>
        <v>0</v>
      </c>
    </row>
    <row r="41" spans="2:8" x14ac:dyDescent="0.25">
      <c r="B41" s="26">
        <v>38</v>
      </c>
      <c r="C41" s="52">
        <f t="shared" si="0"/>
        <v>8.7921961526698345E-2</v>
      </c>
      <c r="D41" s="52">
        <f t="shared" si="1"/>
        <v>5.8256465500538285E-2</v>
      </c>
      <c r="E41" s="48">
        <f t="shared" si="2"/>
        <v>-2.966549602616006E-2</v>
      </c>
      <c r="F41" s="48">
        <f t="shared" si="3"/>
        <v>-3.8536609761771693E-5</v>
      </c>
      <c r="G41" s="48">
        <f t="shared" si="4"/>
        <v>8.788342491693657E-2</v>
      </c>
      <c r="H41" s="30">
        <f t="shared" si="5"/>
        <v>0</v>
      </c>
    </row>
    <row r="42" spans="2:8" x14ac:dyDescent="0.25">
      <c r="B42" s="26">
        <v>39</v>
      </c>
      <c r="C42" s="52">
        <f t="shared" si="0"/>
        <v>9.8387203409769475E-2</v>
      </c>
      <c r="D42" s="52">
        <f t="shared" si="1"/>
        <v>7.1958024598108364E-2</v>
      </c>
      <c r="E42" s="48">
        <f t="shared" si="2"/>
        <v>-2.6429178811661111E-2</v>
      </c>
      <c r="F42" s="48">
        <f t="shared" si="3"/>
        <v>-3.4332510378081278E-5</v>
      </c>
      <c r="G42" s="48">
        <f t="shared" si="4"/>
        <v>9.835287089939139E-2</v>
      </c>
      <c r="H42" s="30">
        <f t="shared" si="5"/>
        <v>0</v>
      </c>
    </row>
    <row r="43" spans="2:8" x14ac:dyDescent="0.25">
      <c r="B43" s="26">
        <v>40</v>
      </c>
      <c r="C43" s="52">
        <f t="shared" si="0"/>
        <v>8.7921961526698345E-2</v>
      </c>
      <c r="D43" s="52">
        <f t="shared" si="1"/>
        <v>5.8256465500538285E-2</v>
      </c>
      <c r="E43" s="48">
        <f t="shared" si="2"/>
        <v>-2.966549602616006E-2</v>
      </c>
      <c r="F43" s="48">
        <f t="shared" si="3"/>
        <v>-3.8536609761771693E-5</v>
      </c>
      <c r="G43" s="48">
        <f t="shared" si="4"/>
        <v>8.788342491693657E-2</v>
      </c>
      <c r="H43" s="30">
        <f t="shared" si="5"/>
        <v>0</v>
      </c>
    </row>
    <row r="44" spans="2:8" x14ac:dyDescent="0.25">
      <c r="B44" s="26">
        <v>41</v>
      </c>
      <c r="C44" s="52">
        <f t="shared" si="0"/>
        <v>0.32440122806902955</v>
      </c>
      <c r="D44" s="52">
        <f t="shared" si="1"/>
        <v>0.30529874652047795</v>
      </c>
      <c r="E44" s="48">
        <f t="shared" si="2"/>
        <v>-1.9102481548551598E-2</v>
      </c>
      <c r="F44" s="48">
        <f t="shared" si="3"/>
        <v>-2.4814851444547537E-5</v>
      </c>
      <c r="G44" s="48">
        <f t="shared" si="4"/>
        <v>0.32437641321758498</v>
      </c>
      <c r="H44" s="30">
        <f t="shared" si="5"/>
        <v>0</v>
      </c>
    </row>
    <row r="45" spans="2:8" x14ac:dyDescent="0.25">
      <c r="B45" s="26">
        <v>42</v>
      </c>
      <c r="C45" s="52">
        <f t="shared" si="0"/>
        <v>8.7921961526698345E-2</v>
      </c>
      <c r="D45" s="52">
        <f t="shared" si="1"/>
        <v>5.8256465500538285E-2</v>
      </c>
      <c r="E45" s="48">
        <f t="shared" si="2"/>
        <v>-2.966549602616006E-2</v>
      </c>
      <c r="F45" s="48">
        <f t="shared" si="3"/>
        <v>-3.8536609761771693E-5</v>
      </c>
      <c r="G45" s="48">
        <f t="shared" si="4"/>
        <v>8.788342491693657E-2</v>
      </c>
      <c r="H45" s="30">
        <f t="shared" si="5"/>
        <v>0</v>
      </c>
    </row>
    <row r="46" spans="2:8" x14ac:dyDescent="0.25">
      <c r="B46" s="26">
        <v>43</v>
      </c>
      <c r="C46" s="52">
        <f t="shared" si="0"/>
        <v>0.19779080449305989</v>
      </c>
      <c r="D46" s="52">
        <f t="shared" si="1"/>
        <v>0.1877023014843526</v>
      </c>
      <c r="E46" s="48">
        <f t="shared" si="2"/>
        <v>-1.0088503008707284E-2</v>
      </c>
      <c r="F46" s="48">
        <f t="shared" si="3"/>
        <v>-1.3105349837541078E-5</v>
      </c>
      <c r="G46" s="48">
        <f t="shared" si="4"/>
        <v>0.19777769914322235</v>
      </c>
      <c r="H46" s="30">
        <f t="shared" si="5"/>
        <v>0</v>
      </c>
    </row>
    <row r="47" spans="2:8" x14ac:dyDescent="0.25">
      <c r="B47" s="26">
        <v>44</v>
      </c>
      <c r="C47" s="52">
        <f t="shared" si="0"/>
        <v>8.7921961526698345E-2</v>
      </c>
      <c r="D47" s="52">
        <f t="shared" si="1"/>
        <v>5.8256465500538285E-2</v>
      </c>
      <c r="E47" s="48">
        <f t="shared" si="2"/>
        <v>-2.966549602616006E-2</v>
      </c>
      <c r="F47" s="48">
        <f t="shared" si="3"/>
        <v>-3.8536609761771693E-5</v>
      </c>
      <c r="G47" s="48">
        <f t="shared" si="4"/>
        <v>8.788342491693657E-2</v>
      </c>
      <c r="H47" s="30">
        <f t="shared" si="5"/>
        <v>0</v>
      </c>
    </row>
    <row r="48" spans="2:8" x14ac:dyDescent="0.25">
      <c r="B48" s="26">
        <v>45</v>
      </c>
      <c r="C48" s="52">
        <f t="shared" si="0"/>
        <v>8.7932880027034033E-2</v>
      </c>
      <c r="D48" s="52">
        <f t="shared" si="1"/>
        <v>5.8261619608528936E-2</v>
      </c>
      <c r="E48" s="48">
        <f t="shared" si="2"/>
        <v>-2.9671260418505097E-2</v>
      </c>
      <c r="F48" s="48">
        <f t="shared" si="3"/>
        <v>-3.8544097927083965E-5</v>
      </c>
      <c r="G48" s="48">
        <f t="shared" si="4"/>
        <v>8.7894335929106948E-2</v>
      </c>
      <c r="H48" s="30">
        <f t="shared" si="5"/>
        <v>0</v>
      </c>
    </row>
    <row r="49" spans="1:21" x14ac:dyDescent="0.25">
      <c r="B49" s="26">
        <v>46</v>
      </c>
      <c r="C49" s="52">
        <f t="shared" si="0"/>
        <v>8.7921961526698345E-2</v>
      </c>
      <c r="D49" s="52">
        <f t="shared" si="1"/>
        <v>5.8256465500538285E-2</v>
      </c>
      <c r="E49" s="48">
        <f t="shared" si="2"/>
        <v>-2.966549602616006E-2</v>
      </c>
      <c r="F49" s="48">
        <f t="shared" si="3"/>
        <v>-3.8536609761771693E-5</v>
      </c>
      <c r="G49" s="48">
        <f t="shared" si="4"/>
        <v>8.788342491693657E-2</v>
      </c>
      <c r="H49" s="30">
        <f t="shared" si="5"/>
        <v>0</v>
      </c>
    </row>
    <row r="50" spans="1:21" x14ac:dyDescent="0.25">
      <c r="B50" s="26">
        <v>47</v>
      </c>
      <c r="C50" s="52">
        <f t="shared" si="0"/>
        <v>0.26064585390490097</v>
      </c>
      <c r="D50" s="52">
        <f t="shared" si="1"/>
        <v>0.2367936036530196</v>
      </c>
      <c r="E50" s="48">
        <f t="shared" si="2"/>
        <v>-2.3852250251881368E-2</v>
      </c>
      <c r="F50" s="48">
        <f t="shared" si="3"/>
        <v>-3.0984981983321765E-5</v>
      </c>
      <c r="G50" s="48">
        <f t="shared" si="4"/>
        <v>0.26061486892291763</v>
      </c>
      <c r="H50" s="30">
        <f t="shared" si="5"/>
        <v>0</v>
      </c>
    </row>
    <row r="51" spans="1:21" x14ac:dyDescent="0.25">
      <c r="B51" s="26">
        <v>48</v>
      </c>
      <c r="C51" s="52">
        <f t="shared" si="0"/>
        <v>8.7921961526698345E-2</v>
      </c>
      <c r="D51" s="52">
        <f t="shared" si="1"/>
        <v>5.8256465500538285E-2</v>
      </c>
      <c r="E51" s="48">
        <f t="shared" si="2"/>
        <v>-2.966549602616006E-2</v>
      </c>
      <c r="F51" s="48">
        <f t="shared" si="3"/>
        <v>-3.8536609761771693E-5</v>
      </c>
      <c r="G51" s="48">
        <f t="shared" si="4"/>
        <v>8.788342491693657E-2</v>
      </c>
      <c r="H51" s="30">
        <f t="shared" si="5"/>
        <v>0</v>
      </c>
    </row>
    <row r="52" spans="1:21" x14ac:dyDescent="0.25">
      <c r="B52" s="26">
        <v>49</v>
      </c>
      <c r="C52" s="52">
        <f t="shared" si="0"/>
        <v>0.14568078669873447</v>
      </c>
      <c r="D52" s="52">
        <f t="shared" si="1"/>
        <v>0.14316623416465049</v>
      </c>
      <c r="E52" s="48">
        <f t="shared" si="2"/>
        <v>-2.5145525340839747E-3</v>
      </c>
      <c r="F52" s="48">
        <f t="shared" si="3"/>
        <v>-3.2664995605000646E-6</v>
      </c>
      <c r="G52" s="48">
        <f t="shared" si="4"/>
        <v>0.14567752019917396</v>
      </c>
      <c r="H52" s="30">
        <f t="shared" si="5"/>
        <v>0</v>
      </c>
    </row>
    <row r="53" spans="1:21" x14ac:dyDescent="0.25">
      <c r="B53" s="26">
        <v>50</v>
      </c>
      <c r="C53" s="52">
        <f t="shared" si="0"/>
        <v>8.7921961526698345E-2</v>
      </c>
      <c r="D53" s="52">
        <f t="shared" si="1"/>
        <v>5.8256465500538285E-2</v>
      </c>
      <c r="E53" s="48">
        <f t="shared" si="2"/>
        <v>-2.966549602616006E-2</v>
      </c>
      <c r="F53" s="48">
        <f t="shared" si="3"/>
        <v>-3.8536609761771693E-5</v>
      </c>
      <c r="G53" s="48">
        <f t="shared" si="4"/>
        <v>8.788342491693657E-2</v>
      </c>
      <c r="H53" s="30">
        <f t="shared" si="5"/>
        <v>0</v>
      </c>
    </row>
    <row r="54" spans="1:21" x14ac:dyDescent="0.25">
      <c r="C54" s="41"/>
      <c r="D54" s="41"/>
      <c r="E54" s="32"/>
      <c r="F54" s="32"/>
    </row>
    <row r="55" spans="1:21" x14ac:dyDescent="0.25">
      <c r="F55" s="26" t="s">
        <v>85</v>
      </c>
      <c r="G55" s="29">
        <f>IF(H4=0,0,100*H55/H4)</f>
        <v>0</v>
      </c>
      <c r="H55" s="29">
        <f>SQRT(SUMSQ(H5:H53))</f>
        <v>0</v>
      </c>
      <c r="I55" s="26" t="s">
        <v>52</v>
      </c>
    </row>
    <row r="56" spans="1:21" x14ac:dyDescent="0.25">
      <c r="F56" s="26" t="s">
        <v>86</v>
      </c>
      <c r="G56" s="29">
        <f>SQRT(SUMSQ(G4:G53))</f>
        <v>104.85405205896129</v>
      </c>
      <c r="H56" s="29">
        <f>SQRT(SUMSQ(H4:H53))</f>
        <v>0</v>
      </c>
      <c r="I56" s="26" t="s">
        <v>54</v>
      </c>
    </row>
    <row r="57" spans="1:21" x14ac:dyDescent="0.25">
      <c r="G57" s="26" t="s">
        <v>87</v>
      </c>
      <c r="H57" s="26" t="s">
        <v>13</v>
      </c>
    </row>
    <row r="59" spans="1:21" x14ac:dyDescent="0.25">
      <c r="A59" s="25" t="s">
        <v>63</v>
      </c>
      <c r="C59" s="36"/>
      <c r="D59" s="36"/>
      <c r="E59" s="36"/>
      <c r="F59" s="36"/>
      <c r="G59" s="36"/>
      <c r="H59" s="36"/>
      <c r="I59" s="36"/>
      <c r="J59" s="36"/>
      <c r="K59" s="36"/>
      <c r="L59" s="36"/>
      <c r="M59" s="36"/>
      <c r="N59" s="36"/>
      <c r="O59" s="36"/>
      <c r="P59" s="36"/>
      <c r="Q59" s="36"/>
      <c r="R59" s="36"/>
      <c r="S59" s="36"/>
    </row>
    <row r="60" spans="1:21" ht="14.4" x14ac:dyDescent="0.3">
      <c r="C60" s="1" t="s">
        <v>478</v>
      </c>
      <c r="D60" s="7">
        <f>100/D62</f>
        <v>1000</v>
      </c>
      <c r="E60" s="7">
        <f t="shared" ref="E60:U60" si="6">100/E62</f>
        <v>200</v>
      </c>
      <c r="F60" s="7">
        <f t="shared" si="6"/>
        <v>100</v>
      </c>
      <c r="G60" s="7">
        <f t="shared" si="6"/>
        <v>50</v>
      </c>
      <c r="H60" s="7">
        <f t="shared" si="6"/>
        <v>33.333333333333336</v>
      </c>
      <c r="I60" s="7">
        <f t="shared" si="6"/>
        <v>25</v>
      </c>
      <c r="J60" s="7">
        <f t="shared" si="6"/>
        <v>20</v>
      </c>
      <c r="K60" s="7">
        <f t="shared" si="6"/>
        <v>16.666666666666668</v>
      </c>
      <c r="L60" s="7">
        <f t="shared" si="6"/>
        <v>14.285714285714286</v>
      </c>
      <c r="M60" s="7">
        <f t="shared" si="6"/>
        <v>12.5</v>
      </c>
      <c r="N60" s="7">
        <f t="shared" si="6"/>
        <v>10</v>
      </c>
      <c r="O60" s="7">
        <f t="shared" si="6"/>
        <v>8.3333333333333339</v>
      </c>
      <c r="P60" s="7">
        <f t="shared" si="6"/>
        <v>7.1428571428571432</v>
      </c>
      <c r="Q60" s="7">
        <f t="shared" si="6"/>
        <v>5.5555555555555554</v>
      </c>
      <c r="R60" s="7">
        <f t="shared" si="6"/>
        <v>4.7619047619047619</v>
      </c>
      <c r="S60" s="7">
        <f t="shared" si="6"/>
        <v>1</v>
      </c>
      <c r="T60" s="7">
        <f t="shared" si="6"/>
        <v>0.1</v>
      </c>
      <c r="U60" s="7">
        <f t="shared" si="6"/>
        <v>0.01</v>
      </c>
    </row>
    <row r="61" spans="1:21" ht="14.4" x14ac:dyDescent="0.3">
      <c r="C61" s="1" t="s">
        <v>64</v>
      </c>
      <c r="D61">
        <v>0</v>
      </c>
      <c r="E61">
        <v>1</v>
      </c>
      <c r="F61">
        <v>2</v>
      </c>
      <c r="G61">
        <v>3</v>
      </c>
      <c r="H61">
        <v>4</v>
      </c>
      <c r="I61">
        <v>5</v>
      </c>
      <c r="J61">
        <v>6</v>
      </c>
      <c r="K61">
        <v>7</v>
      </c>
      <c r="L61">
        <v>8</v>
      </c>
      <c r="M61">
        <v>9</v>
      </c>
      <c r="N61">
        <v>10</v>
      </c>
      <c r="O61">
        <v>11</v>
      </c>
      <c r="P61">
        <v>12</v>
      </c>
      <c r="Q61">
        <v>13</v>
      </c>
      <c r="R61">
        <v>14</v>
      </c>
      <c r="S61">
        <v>15</v>
      </c>
      <c r="T61">
        <v>16</v>
      </c>
      <c r="U61">
        <v>17</v>
      </c>
    </row>
    <row r="62" spans="1:21" ht="14.4" x14ac:dyDescent="0.3">
      <c r="A62" s="26" t="s">
        <v>65</v>
      </c>
      <c r="B62" s="54"/>
      <c r="C62" s="216" t="s">
        <v>1</v>
      </c>
      <c r="D62" s="296">
        <v>0.1</v>
      </c>
      <c r="E62" s="296">
        <v>0.5</v>
      </c>
      <c r="F62" s="296">
        <v>1</v>
      </c>
      <c r="G62" s="296">
        <v>2</v>
      </c>
      <c r="H62" s="296">
        <v>3</v>
      </c>
      <c r="I62" s="296">
        <v>4</v>
      </c>
      <c r="J62" s="296">
        <v>5</v>
      </c>
      <c r="K62" s="296">
        <v>6</v>
      </c>
      <c r="L62" s="296">
        <v>7</v>
      </c>
      <c r="M62" s="296">
        <v>8</v>
      </c>
      <c r="N62" s="296">
        <v>10</v>
      </c>
      <c r="O62" s="296">
        <v>12</v>
      </c>
      <c r="P62" s="296">
        <v>14</v>
      </c>
      <c r="Q62" s="296">
        <v>18</v>
      </c>
      <c r="R62" s="296">
        <v>21</v>
      </c>
      <c r="S62" s="296">
        <v>100</v>
      </c>
      <c r="T62" s="296">
        <v>1000</v>
      </c>
      <c r="U62" s="296">
        <v>10000</v>
      </c>
    </row>
    <row r="63" spans="1:21" ht="14.4" x14ac:dyDescent="0.3">
      <c r="A63" s="31"/>
      <c r="C63" s="1" t="s">
        <v>64</v>
      </c>
      <c r="D63">
        <v>0</v>
      </c>
      <c r="E63">
        <v>1</v>
      </c>
      <c r="F63">
        <v>2</v>
      </c>
      <c r="G63">
        <v>3</v>
      </c>
      <c r="H63">
        <v>4</v>
      </c>
      <c r="I63">
        <v>5</v>
      </c>
      <c r="J63">
        <v>6</v>
      </c>
      <c r="K63">
        <v>7</v>
      </c>
      <c r="L63">
        <v>8</v>
      </c>
      <c r="M63">
        <v>9</v>
      </c>
      <c r="N63">
        <v>10</v>
      </c>
      <c r="O63">
        <v>11</v>
      </c>
      <c r="P63">
        <v>12</v>
      </c>
      <c r="Q63">
        <v>13</v>
      </c>
      <c r="R63">
        <v>14</v>
      </c>
      <c r="S63">
        <v>15</v>
      </c>
      <c r="T63">
        <v>16</v>
      </c>
      <c r="U63">
        <v>17</v>
      </c>
    </row>
    <row r="64" spans="1:21" ht="14.4" x14ac:dyDescent="0.3">
      <c r="A64" s="43">
        <v>2</v>
      </c>
      <c r="B64" s="43"/>
      <c r="C64" s="1"/>
      <c r="D64" s="298">
        <v>1.7291324964220301E-2</v>
      </c>
      <c r="E64" s="298">
        <v>6.6998018440489568E-2</v>
      </c>
      <c r="F64" s="298">
        <v>0.12416560747379798</v>
      </c>
      <c r="G64" s="298">
        <v>0.19164678959143519</v>
      </c>
      <c r="H64" s="298">
        <v>3.2432337711389723E-2</v>
      </c>
      <c r="I64" s="298">
        <v>2.6794917304969575E-2</v>
      </c>
      <c r="J64" s="298">
        <v>1.0787351058726545E-2</v>
      </c>
      <c r="K64" s="298">
        <v>1.5488830696511377E-2</v>
      </c>
      <c r="L64" s="298">
        <v>1.1120918013740941E-2</v>
      </c>
      <c r="M64" s="298">
        <v>1.2571907703050382E-2</v>
      </c>
      <c r="N64" s="298">
        <v>2.636287592484499E-2</v>
      </c>
      <c r="O64" s="298">
        <v>3.9068771982494086E-3</v>
      </c>
      <c r="P64" s="298">
        <v>1.783236037225493E-2</v>
      </c>
      <c r="Q64" s="298">
        <v>6.5715038062707058E-3</v>
      </c>
      <c r="R64" s="298">
        <v>5.7146036546192576E-3</v>
      </c>
      <c r="S64" s="298">
        <v>5.7146036546192576E-3</v>
      </c>
      <c r="T64" s="298">
        <v>5.7146036546192576E-3</v>
      </c>
      <c r="U64" s="298">
        <v>5.7146036546192576E-3</v>
      </c>
    </row>
    <row r="65" spans="1:21" ht="14.4" x14ac:dyDescent="0.3">
      <c r="A65" s="43">
        <v>3</v>
      </c>
      <c r="B65" s="43"/>
      <c r="C65" s="1"/>
      <c r="D65" s="298">
        <v>0.55385104430828935</v>
      </c>
      <c r="E65" s="298">
        <v>8.5473774716319078</v>
      </c>
      <c r="F65" s="298">
        <v>4.3857615521600959</v>
      </c>
      <c r="G65" s="298">
        <v>4.8916763402676038</v>
      </c>
      <c r="H65" s="298">
        <v>5.107248510230364</v>
      </c>
      <c r="I65" s="298">
        <v>6.2072885442798249</v>
      </c>
      <c r="J65" s="298">
        <v>7.7608557639223745</v>
      </c>
      <c r="K65" s="298">
        <v>5.1365577880102951</v>
      </c>
      <c r="L65" s="298">
        <v>3.7115343236794409</v>
      </c>
      <c r="M65" s="298">
        <v>2.8652501742303245</v>
      </c>
      <c r="N65" s="298">
        <v>1.976424393859703</v>
      </c>
      <c r="O65" s="298">
        <v>1.512989131711088</v>
      </c>
      <c r="P65" s="298">
        <v>1.2479844012146544</v>
      </c>
      <c r="Q65" s="298">
        <v>0.90186138282906037</v>
      </c>
      <c r="R65" s="298">
        <v>0.8611207071065603</v>
      </c>
      <c r="S65" s="298">
        <v>0.8611207071065603</v>
      </c>
      <c r="T65" s="298">
        <v>0.8611207071065603</v>
      </c>
      <c r="U65" s="298">
        <v>0.8611207071065603</v>
      </c>
    </row>
    <row r="66" spans="1:21" ht="14.4" x14ac:dyDescent="0.3">
      <c r="A66" s="43">
        <v>4</v>
      </c>
      <c r="B66" s="43"/>
      <c r="C66" s="1"/>
      <c r="D66" s="298">
        <v>0.13520250276733159</v>
      </c>
      <c r="E66" s="298">
        <v>2.8695360144102396E-2</v>
      </c>
      <c r="F66" s="298">
        <v>0.11237654569855723</v>
      </c>
      <c r="G66" s="298">
        <v>0.1270693443534559</v>
      </c>
      <c r="H66" s="298">
        <v>2.9673650735424224E-2</v>
      </c>
      <c r="I66" s="298">
        <v>2.1212221057019379E-2</v>
      </c>
      <c r="J66" s="298">
        <v>1.8916758051922035E-2</v>
      </c>
      <c r="K66" s="298">
        <v>2.4591818946340816E-2</v>
      </c>
      <c r="L66" s="298">
        <v>2.2309871990685983E-2</v>
      </c>
      <c r="M66" s="298">
        <v>1.4672119245636975E-2</v>
      </c>
      <c r="N66" s="298">
        <v>3.4977738354405041E-3</v>
      </c>
      <c r="O66" s="298">
        <v>3.318391374383355E-3</v>
      </c>
      <c r="P66" s="298">
        <v>1.8380050856337499E-2</v>
      </c>
      <c r="Q66" s="298">
        <v>5.7240454854559945E-3</v>
      </c>
      <c r="R66" s="298">
        <v>1.5847873572736098E-3</v>
      </c>
      <c r="S66" s="298">
        <v>1.5847873572736098E-3</v>
      </c>
      <c r="T66" s="298">
        <v>1.5847873572736098E-3</v>
      </c>
      <c r="U66" s="298">
        <v>1.5847873572736098E-3</v>
      </c>
    </row>
    <row r="67" spans="1:21" ht="14.4" x14ac:dyDescent="0.3">
      <c r="A67" s="43">
        <v>5</v>
      </c>
      <c r="B67" s="43"/>
      <c r="C67" s="1"/>
      <c r="D67" s="298">
        <v>93.368748010282204</v>
      </c>
      <c r="E67" s="298">
        <v>82.87682728374898</v>
      </c>
      <c r="F67" s="298">
        <v>73.247221838386295</v>
      </c>
      <c r="G67" s="298">
        <v>60.831459052554194</v>
      </c>
      <c r="H67" s="298">
        <v>49.382828970020235</v>
      </c>
      <c r="I67" s="298">
        <v>41.72752692184784</v>
      </c>
      <c r="J67" s="298">
        <v>37.27946499417164</v>
      </c>
      <c r="K67" s="298">
        <v>34.240442443062605</v>
      </c>
      <c r="L67" s="298">
        <v>31.801834469310585</v>
      </c>
      <c r="M67" s="298">
        <v>29.833911528390878</v>
      </c>
      <c r="N67" s="298">
        <v>26.829447444032468</v>
      </c>
      <c r="O67" s="298">
        <v>24.524377947577921</v>
      </c>
      <c r="P67" s="298">
        <v>22.666145948519805</v>
      </c>
      <c r="Q67" s="298">
        <v>19.683481307529799</v>
      </c>
      <c r="R67" s="298">
        <v>19.55420880107971</v>
      </c>
      <c r="S67" s="298">
        <v>19.55420880107971</v>
      </c>
      <c r="T67" s="298">
        <v>19.55420880107971</v>
      </c>
      <c r="U67" s="298">
        <v>19.55420880107971</v>
      </c>
    </row>
    <row r="68" spans="1:21" ht="14.4" x14ac:dyDescent="0.3">
      <c r="A68" s="43">
        <v>6</v>
      </c>
      <c r="B68" s="43"/>
      <c r="C68" s="1"/>
      <c r="D68" s="298">
        <v>6.8818496078623531E-2</v>
      </c>
      <c r="E68" s="298">
        <v>5.2936191485114158E-2</v>
      </c>
      <c r="F68" s="298">
        <v>7.0102641631974985E-3</v>
      </c>
      <c r="G68" s="298">
        <v>1.1862351899176933E-2</v>
      </c>
      <c r="H68" s="298">
        <v>1.9222702695116914E-3</v>
      </c>
      <c r="I68" s="298">
        <v>1.1087146410300954E-2</v>
      </c>
      <c r="J68" s="298">
        <v>6.7285132893848583E-3</v>
      </c>
      <c r="K68" s="298">
        <v>4.5194792975590103E-3</v>
      </c>
      <c r="L68" s="298">
        <v>6.0169639857389576E-3</v>
      </c>
      <c r="M68" s="298">
        <v>7.3330327729595772E-3</v>
      </c>
      <c r="N68" s="298">
        <v>4.9368015428742544E-3</v>
      </c>
      <c r="O68" s="298">
        <v>2.1005572354824645E-3</v>
      </c>
      <c r="P68" s="298">
        <v>9.2816222816082712E-3</v>
      </c>
      <c r="Q68" s="298">
        <v>3.8021989595571734E-3</v>
      </c>
      <c r="R68" s="298">
        <v>2.6949365909897677E-3</v>
      </c>
      <c r="S68" s="298">
        <v>2.6949365909897677E-3</v>
      </c>
      <c r="T68" s="298">
        <v>2.6949365909897677E-3</v>
      </c>
      <c r="U68" s="298">
        <v>2.6949365909897677E-3</v>
      </c>
    </row>
    <row r="69" spans="1:21" ht="14.4" x14ac:dyDescent="0.3">
      <c r="A69" s="43">
        <v>7</v>
      </c>
      <c r="B69" s="43"/>
      <c r="C69" s="1"/>
      <c r="D69" s="298">
        <v>85.792929223620419</v>
      </c>
      <c r="E69" s="298">
        <v>65.67536665068971</v>
      </c>
      <c r="F69" s="298">
        <v>52.471101352240538</v>
      </c>
      <c r="G69" s="298">
        <v>34.473926081721721</v>
      </c>
      <c r="H69" s="298">
        <v>20.70483242585701</v>
      </c>
      <c r="I69" s="298">
        <v>13.8859457017344</v>
      </c>
      <c r="J69" s="298">
        <v>10.407370469722119</v>
      </c>
      <c r="K69" s="298">
        <v>8.4234250472584673</v>
      </c>
      <c r="L69" s="298">
        <v>7.3447486655802345</v>
      </c>
      <c r="M69" s="298">
        <v>6.8022663683683335</v>
      </c>
      <c r="N69" s="298">
        <v>6.5166708279323533</v>
      </c>
      <c r="O69" s="298">
        <v>6.6273860488121423</v>
      </c>
      <c r="P69" s="298">
        <v>6.8022403042729351</v>
      </c>
      <c r="Q69" s="298">
        <v>6.987229811341364</v>
      </c>
      <c r="R69" s="298">
        <v>7.326010337515557</v>
      </c>
      <c r="S69" s="298">
        <v>7.326010337515557</v>
      </c>
      <c r="T69" s="298">
        <v>7.326010337515557</v>
      </c>
      <c r="U69" s="298">
        <v>7.326010337515557</v>
      </c>
    </row>
    <row r="70" spans="1:21" ht="14.4" x14ac:dyDescent="0.3">
      <c r="A70" s="43">
        <v>8</v>
      </c>
      <c r="B70" s="43"/>
      <c r="C70" s="1"/>
      <c r="D70" s="298">
        <v>0.15207091572872264</v>
      </c>
      <c r="E70" s="298">
        <v>5.2891824469196221E-2</v>
      </c>
      <c r="F70" s="298">
        <v>5.7040082585237739E-2</v>
      </c>
      <c r="G70" s="298">
        <v>1.9116049168177565E-2</v>
      </c>
      <c r="H70" s="298">
        <v>2.3564987660073828E-2</v>
      </c>
      <c r="I70" s="298">
        <v>8.5355102461392024E-3</v>
      </c>
      <c r="J70" s="298">
        <v>1.9603945043945102E-2</v>
      </c>
      <c r="K70" s="298">
        <v>1.2636657164619786E-2</v>
      </c>
      <c r="L70" s="298">
        <v>1.0643351525778579E-2</v>
      </c>
      <c r="M70" s="298">
        <v>4.3473848598230228E-3</v>
      </c>
      <c r="N70" s="298">
        <v>2.5415807506222721E-3</v>
      </c>
      <c r="O70" s="298">
        <v>1.2216655309818655E-3</v>
      </c>
      <c r="P70" s="298">
        <v>6.4595461603830819E-3</v>
      </c>
      <c r="Q70" s="298">
        <v>1.3983813924981661E-3</v>
      </c>
      <c r="R70" s="298">
        <v>3.4056178014729927E-3</v>
      </c>
      <c r="S70" s="298">
        <v>3.4056178014729927E-3</v>
      </c>
      <c r="T70" s="298">
        <v>3.4056178014729927E-3</v>
      </c>
      <c r="U70" s="298">
        <v>3.4056178014729927E-3</v>
      </c>
    </row>
    <row r="71" spans="1:21" ht="14.4" x14ac:dyDescent="0.3">
      <c r="A71" s="43">
        <v>9</v>
      </c>
      <c r="B71" s="43"/>
      <c r="C71" s="1"/>
      <c r="D71" s="298">
        <v>1.154353524821659</v>
      </c>
      <c r="E71" s="298">
        <v>3.5914593530271834</v>
      </c>
      <c r="F71" s="298">
        <v>0.66156600737101889</v>
      </c>
      <c r="G71" s="298">
        <v>0.60368769264829547</v>
      </c>
      <c r="H71" s="298">
        <v>0.42447764331950832</v>
      </c>
      <c r="I71" s="298">
        <v>1.0648962156533353</v>
      </c>
      <c r="J71" s="298">
        <v>1.5532650518305111</v>
      </c>
      <c r="K71" s="298">
        <v>0.98716445545758624</v>
      </c>
      <c r="L71" s="298">
        <v>0.68104076968532634</v>
      </c>
      <c r="M71" s="298">
        <v>0.50610374236669098</v>
      </c>
      <c r="N71" s="298">
        <v>0.31868142208094846</v>
      </c>
      <c r="O71" s="298">
        <v>0.22626624756676589</v>
      </c>
      <c r="P71" s="298">
        <v>0.1789795622711387</v>
      </c>
      <c r="Q71" s="298">
        <v>0.13966052871548112</v>
      </c>
      <c r="R71" s="298">
        <v>0.13247290047204982</v>
      </c>
      <c r="S71" s="298">
        <v>0.13247290047204982</v>
      </c>
      <c r="T71" s="298">
        <v>0.13247290047204982</v>
      </c>
      <c r="U71" s="298">
        <v>0.13247290047204982</v>
      </c>
    </row>
    <row r="72" spans="1:21" ht="14.4" x14ac:dyDescent="0.3">
      <c r="A72" s="43">
        <v>10</v>
      </c>
      <c r="B72" s="43"/>
      <c r="C72" s="1"/>
      <c r="D72" s="298">
        <v>0.2294007148283545</v>
      </c>
      <c r="E72" s="298">
        <v>4.67408371331944E-2</v>
      </c>
      <c r="F72" s="298">
        <v>3.9171017790739594E-2</v>
      </c>
      <c r="G72" s="298">
        <v>3.1896110289054799E-2</v>
      </c>
      <c r="H72" s="298">
        <v>9.7072760067846587E-3</v>
      </c>
      <c r="I72" s="298">
        <v>1.3760275349404955E-2</v>
      </c>
      <c r="J72" s="298">
        <v>1.2351163020258928E-2</v>
      </c>
      <c r="K72" s="298">
        <v>7.8770677291336265E-3</v>
      </c>
      <c r="L72" s="298">
        <v>6.6241460677741474E-3</v>
      </c>
      <c r="M72" s="298">
        <v>9.5446111698385379E-4</v>
      </c>
      <c r="N72" s="298">
        <v>5.9000829249238182E-3</v>
      </c>
      <c r="O72" s="298">
        <v>2.8410236973985879E-3</v>
      </c>
      <c r="P72" s="298">
        <v>3.0933034144878684E-3</v>
      </c>
      <c r="Q72" s="298">
        <v>1.7024651539385351E-3</v>
      </c>
      <c r="R72" s="298">
        <v>3.8405411483555876E-3</v>
      </c>
      <c r="S72" s="298">
        <v>3.8405411483555876E-3</v>
      </c>
      <c r="T72" s="298">
        <v>3.8405411483555876E-3</v>
      </c>
      <c r="U72" s="298">
        <v>3.8405411483555876E-3</v>
      </c>
    </row>
    <row r="73" spans="1:21" ht="14.4" x14ac:dyDescent="0.3">
      <c r="A73" s="43">
        <v>11</v>
      </c>
      <c r="B73" s="43"/>
      <c r="C73" s="1"/>
      <c r="D73" s="298">
        <v>69.048567707776243</v>
      </c>
      <c r="E73" s="298">
        <v>33.685348584817774</v>
      </c>
      <c r="F73" s="298">
        <v>15.583787301158949</v>
      </c>
      <c r="G73" s="298">
        <v>6.5636008603412694</v>
      </c>
      <c r="H73" s="298">
        <v>7.6797975872700235</v>
      </c>
      <c r="I73" s="298">
        <v>7.4570840283088478</v>
      </c>
      <c r="J73" s="298">
        <v>6.9055670232180777</v>
      </c>
      <c r="K73" s="298">
        <v>6.5341193000171698</v>
      </c>
      <c r="L73" s="298">
        <v>6.0786150094839924</v>
      </c>
      <c r="M73" s="298">
        <v>5.6151234987755405</v>
      </c>
      <c r="N73" s="298">
        <v>4.7731220793376856</v>
      </c>
      <c r="O73" s="298">
        <v>4.037747204995374</v>
      </c>
      <c r="P73" s="298">
        <v>3.4442053406397228</v>
      </c>
      <c r="Q73" s="298">
        <v>2.6571079286057731</v>
      </c>
      <c r="R73" s="298">
        <v>2.6319335627413896</v>
      </c>
      <c r="S73" s="298">
        <v>2.6319335627413896</v>
      </c>
      <c r="T73" s="298">
        <v>2.6319335627413896</v>
      </c>
      <c r="U73" s="298">
        <v>2.6319335627413896</v>
      </c>
    </row>
    <row r="74" spans="1:21" ht="14.4" x14ac:dyDescent="0.3">
      <c r="A74" s="43">
        <v>12</v>
      </c>
      <c r="B74" s="43"/>
      <c r="C74" s="1"/>
      <c r="D74" s="298">
        <v>4.3926126021925166E-2</v>
      </c>
      <c r="E74" s="298">
        <v>1.2877494467594758E-2</v>
      </c>
      <c r="F74" s="298">
        <v>4.5954157397374695E-3</v>
      </c>
      <c r="G74" s="298">
        <v>5.329225146697902E-3</v>
      </c>
      <c r="H74" s="298">
        <v>1.7455825337836627E-3</v>
      </c>
      <c r="I74" s="298">
        <v>6.1922252654432195E-3</v>
      </c>
      <c r="J74" s="298">
        <v>4.6340307760456886E-3</v>
      </c>
      <c r="K74" s="298">
        <v>1.2658928420938899E-3</v>
      </c>
      <c r="L74" s="298">
        <v>7.2345470714335765E-4</v>
      </c>
      <c r="M74" s="298">
        <v>2.8137542278655172E-3</v>
      </c>
      <c r="N74" s="298">
        <v>3.3387817150023614E-3</v>
      </c>
      <c r="O74" s="298">
        <v>7.0415228820549169E-4</v>
      </c>
      <c r="P74" s="298">
        <v>3.2866827675993235E-3</v>
      </c>
      <c r="Q74" s="298">
        <v>2.129932191298423E-3</v>
      </c>
      <c r="R74" s="298">
        <v>3.0726078205235829E-3</v>
      </c>
      <c r="S74" s="298">
        <v>3.0726078205235829E-3</v>
      </c>
      <c r="T74" s="298">
        <v>3.0726078205235829E-3</v>
      </c>
      <c r="U74" s="298">
        <v>3.0726078205235829E-3</v>
      </c>
    </row>
    <row r="75" spans="1:21" ht="14.4" x14ac:dyDescent="0.3">
      <c r="A75" s="43">
        <v>13</v>
      </c>
      <c r="B75" s="43"/>
      <c r="C75" s="1"/>
      <c r="D75" s="298">
        <v>57.626071680473594</v>
      </c>
      <c r="E75" s="298">
        <v>19.008833408591933</v>
      </c>
      <c r="F75" s="298">
        <v>6.0811074483745449</v>
      </c>
      <c r="G75" s="298">
        <v>6.4203508662030933</v>
      </c>
      <c r="H75" s="298">
        <v>4.053836065316168</v>
      </c>
      <c r="I75" s="298">
        <v>3.136813925533426</v>
      </c>
      <c r="J75" s="298">
        <v>3.2687886565984781</v>
      </c>
      <c r="K75" s="298">
        <v>3.1927019928471165</v>
      </c>
      <c r="L75" s="298">
        <v>3.1590323561450395</v>
      </c>
      <c r="M75" s="298">
        <v>3.1114405010378423</v>
      </c>
      <c r="N75" s="298">
        <v>2.9413990501469054</v>
      </c>
      <c r="O75" s="298">
        <v>2.6891381919916104</v>
      </c>
      <c r="P75" s="298">
        <v>2.4129113867682368</v>
      </c>
      <c r="Q75" s="298">
        <v>1.9019132140355048</v>
      </c>
      <c r="R75" s="298">
        <v>1.9731316672454773</v>
      </c>
      <c r="S75" s="298">
        <v>1.9731316672454773</v>
      </c>
      <c r="T75" s="298">
        <v>1.9731316672454773</v>
      </c>
      <c r="U75" s="298">
        <v>1.9731316672454773</v>
      </c>
    </row>
    <row r="76" spans="1:21" ht="14.4" x14ac:dyDescent="0.3">
      <c r="A76" s="43">
        <v>14</v>
      </c>
      <c r="B76" s="43"/>
      <c r="C76" s="1"/>
      <c r="D76" s="298">
        <v>0.20927403927484672</v>
      </c>
      <c r="E76" s="298">
        <v>5.5602611265487843E-2</v>
      </c>
      <c r="F76" s="298">
        <v>4.0150680983375708E-2</v>
      </c>
      <c r="G76" s="298">
        <v>1.1364022598705132E-2</v>
      </c>
      <c r="H76" s="298">
        <v>1.5808693433503308E-2</v>
      </c>
      <c r="I76" s="298">
        <v>1.1300571663228018E-2</v>
      </c>
      <c r="J76" s="298">
        <v>1.3986444352451872E-2</v>
      </c>
      <c r="K76" s="298">
        <v>1.3726550136797936E-2</v>
      </c>
      <c r="L76" s="298">
        <v>1.2922710779955417E-2</v>
      </c>
      <c r="M76" s="298">
        <v>6.7573395777536377E-3</v>
      </c>
      <c r="N76" s="298">
        <v>6.0541163970223889E-3</v>
      </c>
      <c r="O76" s="298">
        <v>8.8566143641728831E-4</v>
      </c>
      <c r="P76" s="298">
        <v>4.5856434142929501E-3</v>
      </c>
      <c r="Q76" s="298">
        <v>2.3769049086772155E-3</v>
      </c>
      <c r="R76" s="298">
        <v>2.1687917940923906E-3</v>
      </c>
      <c r="S76" s="298">
        <v>2.1687917940923906E-3</v>
      </c>
      <c r="T76" s="298">
        <v>2.1687917940923906E-3</v>
      </c>
      <c r="U76" s="298">
        <v>2.1687917940923906E-3</v>
      </c>
    </row>
    <row r="77" spans="1:21" ht="14.4" x14ac:dyDescent="0.3">
      <c r="A77" s="43">
        <v>15</v>
      </c>
      <c r="B77" s="43"/>
      <c r="C77" s="1"/>
      <c r="D77" s="298">
        <v>1.136851568371505</v>
      </c>
      <c r="E77" s="298">
        <v>0.23095610968918576</v>
      </c>
      <c r="F77" s="298">
        <v>0.45935010470309795</v>
      </c>
      <c r="G77" s="298">
        <v>0.33979479464125767</v>
      </c>
      <c r="H77" s="298">
        <v>0.19877874639876153</v>
      </c>
      <c r="I77" s="298">
        <v>0.6117370588990978</v>
      </c>
      <c r="J77" s="298">
        <v>0.7739736036483279</v>
      </c>
      <c r="K77" s="298">
        <v>0.47689818111624066</v>
      </c>
      <c r="L77" s="298">
        <v>0.32445444976062632</v>
      </c>
      <c r="M77" s="298">
        <v>0.24590737646040681</v>
      </c>
      <c r="N77" s="298">
        <v>0.17863761703347875</v>
      </c>
      <c r="O77" s="298">
        <v>0.15238590146764369</v>
      </c>
      <c r="P77" s="298">
        <v>0.13879587874692803</v>
      </c>
      <c r="Q77" s="298">
        <v>0.10849930149243135</v>
      </c>
      <c r="R77" s="298">
        <v>0.10438708261063094</v>
      </c>
      <c r="S77" s="298">
        <v>0.10438708261063094</v>
      </c>
      <c r="T77" s="298">
        <v>0.10438708261063094</v>
      </c>
      <c r="U77" s="298">
        <v>0.10438708261063094</v>
      </c>
    </row>
    <row r="78" spans="1:21" ht="14.4" x14ac:dyDescent="0.3">
      <c r="A78" s="43">
        <v>16</v>
      </c>
      <c r="B78" s="43"/>
      <c r="C78" s="1"/>
      <c r="D78" s="298">
        <v>0.21260480542905863</v>
      </c>
      <c r="E78" s="298">
        <v>5.5251059810874539E-2</v>
      </c>
      <c r="F78" s="298">
        <v>2.9549060045343564E-2</v>
      </c>
      <c r="G78" s="298">
        <v>1.9149260351853523E-2</v>
      </c>
      <c r="H78" s="298">
        <v>8.8894084206710914E-3</v>
      </c>
      <c r="I78" s="298">
        <v>9.8004503653837914E-3</v>
      </c>
      <c r="J78" s="298">
        <v>9.3355107602731344E-3</v>
      </c>
      <c r="K78" s="298">
        <v>1.1176506405604431E-2</v>
      </c>
      <c r="L78" s="298">
        <v>1.0797812516310075E-2</v>
      </c>
      <c r="M78" s="298">
        <v>4.9258459762198314E-3</v>
      </c>
      <c r="N78" s="298">
        <v>1.5412362332936629E-3</v>
      </c>
      <c r="O78" s="298">
        <v>1.7707278526791228E-3</v>
      </c>
      <c r="P78" s="298">
        <v>3.8905467511792919E-3</v>
      </c>
      <c r="Q78" s="298">
        <v>3.1270051788819786E-3</v>
      </c>
      <c r="R78" s="298">
        <v>2.7546885466757905E-3</v>
      </c>
      <c r="S78" s="298">
        <v>2.7546885466757905E-3</v>
      </c>
      <c r="T78" s="298">
        <v>2.7546885466757905E-3</v>
      </c>
      <c r="U78" s="298">
        <v>2.7546885466757905E-3</v>
      </c>
    </row>
    <row r="79" spans="1:21" ht="14.4" x14ac:dyDescent="0.3">
      <c r="A79" s="43">
        <v>17</v>
      </c>
      <c r="B79" s="43"/>
      <c r="C79" s="1"/>
      <c r="D79" s="299">
        <v>38.305868434141544</v>
      </c>
      <c r="E79" s="298">
        <v>5.2999903687276673</v>
      </c>
      <c r="F79" s="298">
        <v>6.2578007441416821</v>
      </c>
      <c r="G79" s="299">
        <v>3.651615692351549</v>
      </c>
      <c r="H79" s="299">
        <v>3.9361368606820331</v>
      </c>
      <c r="I79" s="299">
        <v>3.5365888642625669</v>
      </c>
      <c r="J79" s="298">
        <v>2.7954962272937816</v>
      </c>
      <c r="K79" s="298">
        <v>2.4617473384512585</v>
      </c>
      <c r="L79" s="298">
        <v>2.1281057585635259</v>
      </c>
      <c r="M79" s="298">
        <v>1.850567348179557</v>
      </c>
      <c r="N79" s="299">
        <v>1.5324828885585096</v>
      </c>
      <c r="O79" s="298">
        <v>1.4251739565426205</v>
      </c>
      <c r="P79" s="298">
        <v>1.4117622874341469</v>
      </c>
      <c r="Q79" s="298">
        <v>1.3485789449567889</v>
      </c>
      <c r="R79" s="298">
        <v>1.3516864824509252</v>
      </c>
      <c r="S79" s="298">
        <v>1.3516864824509252</v>
      </c>
      <c r="T79" s="298">
        <v>1.3516864824509252</v>
      </c>
      <c r="U79" s="298">
        <v>1.3516864824509252</v>
      </c>
    </row>
    <row r="80" spans="1:21" ht="14.4" x14ac:dyDescent="0.3">
      <c r="A80" s="43">
        <v>18</v>
      </c>
      <c r="B80" s="43"/>
      <c r="C80" s="1"/>
      <c r="D80" s="298">
        <v>6.8073317161051342E-3</v>
      </c>
      <c r="E80" s="298">
        <v>4.4855023970696963E-3</v>
      </c>
      <c r="F80" s="298">
        <v>3.7080452251308581E-3</v>
      </c>
      <c r="G80" s="298">
        <v>4.1891794258732719E-3</v>
      </c>
      <c r="H80" s="298">
        <v>2.5800652861531514E-3</v>
      </c>
      <c r="I80" s="298">
        <v>5.1323452366736095E-3</v>
      </c>
      <c r="J80" s="298">
        <v>3.2624660891922676E-3</v>
      </c>
      <c r="K80" s="298">
        <v>9.7248963017647263E-4</v>
      </c>
      <c r="L80" s="298">
        <v>5.3824967182370125E-4</v>
      </c>
      <c r="M80" s="298">
        <v>3.4207800467921257E-3</v>
      </c>
      <c r="N80" s="298">
        <v>2.3022193218101682E-3</v>
      </c>
      <c r="O80" s="298">
        <v>7.1766985210155283E-4</v>
      </c>
      <c r="P80" s="298">
        <v>1.6747979107749516E-3</v>
      </c>
      <c r="Q80" s="298">
        <v>1.0243399597807483E-3</v>
      </c>
      <c r="R80" s="298">
        <v>2.7645882744071495E-3</v>
      </c>
      <c r="S80" s="298">
        <v>2.7645882744071495E-3</v>
      </c>
      <c r="T80" s="298">
        <v>2.7645882744071495E-3</v>
      </c>
      <c r="U80" s="298">
        <v>2.7645882744071495E-3</v>
      </c>
    </row>
    <row r="81" spans="1:21" ht="14.4" x14ac:dyDescent="0.3">
      <c r="A81" s="43">
        <v>19</v>
      </c>
      <c r="B81" s="43"/>
      <c r="C81" s="1"/>
      <c r="D81" s="298">
        <v>28.12675018493254</v>
      </c>
      <c r="E81" s="298">
        <v>5.7694235730205383</v>
      </c>
      <c r="F81" s="298">
        <v>4.4923444139523241</v>
      </c>
      <c r="G81" s="298">
        <v>2.461818140179882</v>
      </c>
      <c r="H81" s="298">
        <v>1.5612033953483941</v>
      </c>
      <c r="I81" s="298">
        <v>1.435344927819425</v>
      </c>
      <c r="J81" s="298">
        <v>1.8152549557696753</v>
      </c>
      <c r="K81" s="298">
        <v>1.7533389509717254</v>
      </c>
      <c r="L81" s="298">
        <v>1.6441205577377018</v>
      </c>
      <c r="M81" s="298">
        <v>1.5015094716885002</v>
      </c>
      <c r="N81" s="298">
        <v>1.1978760529333901</v>
      </c>
      <c r="O81" s="298">
        <v>0.96493434637770215</v>
      </c>
      <c r="P81" s="298">
        <v>0.86230538911097832</v>
      </c>
      <c r="Q81" s="298">
        <v>0.87143134542122158</v>
      </c>
      <c r="R81" s="298">
        <v>0.89423887387252965</v>
      </c>
      <c r="S81" s="298">
        <v>0.89423887387252965</v>
      </c>
      <c r="T81" s="298">
        <v>0.89423887387252965</v>
      </c>
      <c r="U81" s="298">
        <v>0.89423887387252965</v>
      </c>
    </row>
    <row r="82" spans="1:21" ht="14.4" x14ac:dyDescent="0.3">
      <c r="A82" s="43">
        <v>20</v>
      </c>
      <c r="B82" s="43"/>
      <c r="C82" s="1"/>
      <c r="D82" s="298">
        <v>0.16228025606892954</v>
      </c>
      <c r="E82" s="298">
        <v>3.4304595434386999E-2</v>
      </c>
      <c r="F82" s="298">
        <v>3.603503131369204E-2</v>
      </c>
      <c r="G82" s="298">
        <v>1.3414457398225953E-2</v>
      </c>
      <c r="H82" s="298">
        <v>1.3820648138552563E-2</v>
      </c>
      <c r="I82" s="298">
        <v>1.2553645285502412E-2</v>
      </c>
      <c r="J82" s="298">
        <v>1.1519216055600136E-2</v>
      </c>
      <c r="K82" s="298">
        <v>1.2482583619361326E-2</v>
      </c>
      <c r="L82" s="298">
        <v>1.0659586926913772E-2</v>
      </c>
      <c r="M82" s="298">
        <v>3.9990621565117561E-3</v>
      </c>
      <c r="N82" s="298">
        <v>4.289924599988241E-3</v>
      </c>
      <c r="O82" s="298">
        <v>2.3631359410929234E-3</v>
      </c>
      <c r="P82" s="298">
        <v>2.0372139828744758E-3</v>
      </c>
      <c r="Q82" s="298">
        <v>2.6099379219788315E-3</v>
      </c>
      <c r="R82" s="298">
        <v>3.3164014470484933E-3</v>
      </c>
      <c r="S82" s="298">
        <v>3.3164014470484933E-3</v>
      </c>
      <c r="T82" s="298">
        <v>3.3164014470484933E-3</v>
      </c>
      <c r="U82" s="298">
        <v>3.3164014470484933E-3</v>
      </c>
    </row>
    <row r="83" spans="1:21" ht="14.4" x14ac:dyDescent="0.3">
      <c r="A83" s="43">
        <v>21</v>
      </c>
      <c r="B83" s="43"/>
      <c r="C83" s="1"/>
      <c r="D83" s="298">
        <v>0.62329316321319206</v>
      </c>
      <c r="E83" s="298">
        <v>0.38652912360520963</v>
      </c>
      <c r="F83" s="298">
        <v>0.28848587809075404</v>
      </c>
      <c r="G83" s="298">
        <v>0.2327624797312611</v>
      </c>
      <c r="H83" s="298">
        <v>0.12695962714013889</v>
      </c>
      <c r="I83" s="298">
        <v>0.43156831387325317</v>
      </c>
      <c r="J83" s="298">
        <v>0.51232861946084751</v>
      </c>
      <c r="K83" s="298">
        <v>0.33639919482821595</v>
      </c>
      <c r="L83" s="298">
        <v>0.24976274080004948</v>
      </c>
      <c r="M83" s="298">
        <v>0.20143664947276263</v>
      </c>
      <c r="N83" s="298">
        <v>0.14886071320433725</v>
      </c>
      <c r="O83" s="298">
        <v>0.11057082122039739</v>
      </c>
      <c r="P83" s="298">
        <v>8.69095877563483E-2</v>
      </c>
      <c r="Q83" s="298">
        <v>6.469840401868561E-2</v>
      </c>
      <c r="R83" s="298">
        <v>6.207334554446476E-2</v>
      </c>
      <c r="S83" s="298">
        <v>6.207334554446476E-2</v>
      </c>
      <c r="T83" s="298">
        <v>6.207334554446476E-2</v>
      </c>
      <c r="U83" s="298">
        <v>6.207334554446476E-2</v>
      </c>
    </row>
    <row r="84" spans="1:21" ht="14.4" x14ac:dyDescent="0.3">
      <c r="A84" s="43">
        <v>22</v>
      </c>
      <c r="B84" s="43"/>
      <c r="C84" s="1"/>
      <c r="D84" s="298">
        <v>0.10196628651957353</v>
      </c>
      <c r="E84" s="298">
        <v>3.8702088424270906E-2</v>
      </c>
      <c r="F84" s="298">
        <v>3.2940823141321553E-2</v>
      </c>
      <c r="G84" s="298">
        <v>1.4397088226243407E-2</v>
      </c>
      <c r="H84" s="298">
        <v>8.0433131135157904E-3</v>
      </c>
      <c r="I84" s="298">
        <v>9.1411482785596215E-3</v>
      </c>
      <c r="J84" s="298">
        <v>1.3328297513609087E-2</v>
      </c>
      <c r="K84" s="298">
        <v>9.9334339431091864E-3</v>
      </c>
      <c r="L84" s="298">
        <v>8.7776949548354632E-3</v>
      </c>
      <c r="M84" s="298">
        <v>2.8422690440152187E-3</v>
      </c>
      <c r="N84" s="298">
        <v>1.7693174251628295E-3</v>
      </c>
      <c r="O84" s="298">
        <v>2.3683965026528521E-3</v>
      </c>
      <c r="P84" s="298">
        <v>2.2687748359132434E-3</v>
      </c>
      <c r="Q84" s="298">
        <v>3.2956893394252857E-3</v>
      </c>
      <c r="R84" s="298">
        <v>3.1845733198832878E-3</v>
      </c>
      <c r="S84" s="298">
        <v>3.1845733198832878E-3</v>
      </c>
      <c r="T84" s="298">
        <v>3.1845733198832878E-3</v>
      </c>
      <c r="U84" s="298">
        <v>3.1845733198832878E-3</v>
      </c>
    </row>
    <row r="85" spans="1:21" ht="14.4" x14ac:dyDescent="0.3">
      <c r="A85" s="43">
        <v>23</v>
      </c>
      <c r="B85" s="43"/>
      <c r="C85" s="1"/>
      <c r="D85" s="298">
        <v>14.111336248333169</v>
      </c>
      <c r="E85" s="298">
        <v>4.5502762773923147</v>
      </c>
      <c r="F85" s="298">
        <v>2.8173069900787024</v>
      </c>
      <c r="G85" s="298">
        <v>2.0670952688936821</v>
      </c>
      <c r="H85" s="298">
        <v>2.2928087910650583</v>
      </c>
      <c r="I85" s="298">
        <v>1.9472020944612196</v>
      </c>
      <c r="J85" s="298">
        <v>1.3645089433593613</v>
      </c>
      <c r="K85" s="298">
        <v>1.1709027163413299</v>
      </c>
      <c r="L85" s="298">
        <v>1.0449622436221531</v>
      </c>
      <c r="M85" s="298">
        <v>0.98668776275695924</v>
      </c>
      <c r="N85" s="298">
        <v>0.97151910927620677</v>
      </c>
      <c r="O85" s="298">
        <v>0.91499109629030073</v>
      </c>
      <c r="P85" s="298">
        <v>0.81941237005377587</v>
      </c>
      <c r="Q85" s="298">
        <v>0.64151011524075341</v>
      </c>
      <c r="R85" s="298">
        <v>0.64347399672352978</v>
      </c>
      <c r="S85" s="298">
        <v>0.64347399672352978</v>
      </c>
      <c r="T85" s="298">
        <v>0.64347399672352978</v>
      </c>
      <c r="U85" s="298">
        <v>0.64347399672352978</v>
      </c>
    </row>
    <row r="86" spans="1:21" ht="14.4" x14ac:dyDescent="0.3">
      <c r="A86" s="43">
        <v>24</v>
      </c>
      <c r="B86" s="43"/>
      <c r="C86" s="1"/>
      <c r="D86" s="298">
        <v>3.6824454901743818E-2</v>
      </c>
      <c r="E86" s="298">
        <v>9.8382681602157043E-3</v>
      </c>
      <c r="F86" s="298">
        <v>2.4869442257516557E-3</v>
      </c>
      <c r="G86" s="298">
        <v>3.7823320015961076E-3</v>
      </c>
      <c r="H86" s="298">
        <v>3.0035667733548503E-3</v>
      </c>
      <c r="I86" s="298">
        <v>5.3235417328994826E-3</v>
      </c>
      <c r="J86" s="298">
        <v>5.8116700278296428E-3</v>
      </c>
      <c r="K86" s="298">
        <v>2.9855222275943743E-3</v>
      </c>
      <c r="L86" s="298">
        <v>2.3272957918215429E-3</v>
      </c>
      <c r="M86" s="298">
        <v>3.1075268606800422E-3</v>
      </c>
      <c r="N86" s="298">
        <v>1.6642059470906843E-3</v>
      </c>
      <c r="O86" s="298">
        <v>5.0465814106315395E-4</v>
      </c>
      <c r="P86" s="298">
        <v>2.4652728971896356E-3</v>
      </c>
      <c r="Q86" s="298">
        <v>5.6815989694872823E-4</v>
      </c>
      <c r="R86" s="298">
        <v>2.910084521893625E-3</v>
      </c>
      <c r="S86" s="298">
        <v>2.910084521893625E-3</v>
      </c>
      <c r="T86" s="298">
        <v>2.910084521893625E-3</v>
      </c>
      <c r="U86" s="298">
        <v>2.910084521893625E-3</v>
      </c>
    </row>
    <row r="87" spans="1:21" ht="14.4" x14ac:dyDescent="0.3">
      <c r="A87" s="43">
        <v>25</v>
      </c>
      <c r="B87" s="43"/>
      <c r="C87" s="1"/>
      <c r="D87" s="298">
        <v>9.1460847189836905</v>
      </c>
      <c r="E87" s="298">
        <v>3.3287755929835949</v>
      </c>
      <c r="F87" s="298">
        <v>2.4769082641614584</v>
      </c>
      <c r="G87" s="298">
        <v>1.4065816239828657</v>
      </c>
      <c r="H87" s="298">
        <v>0.9812541545579192</v>
      </c>
      <c r="I87" s="298">
        <v>0.87516515937476913</v>
      </c>
      <c r="J87" s="298">
        <v>1.0203047520164361</v>
      </c>
      <c r="K87" s="298">
        <v>0.89181945133108653</v>
      </c>
      <c r="L87" s="298">
        <v>0.77335390981045959</v>
      </c>
      <c r="M87" s="298">
        <v>0.680943962179267</v>
      </c>
      <c r="N87" s="298">
        <v>0.60410783726699213</v>
      </c>
      <c r="O87" s="298">
        <v>0.59625159344747769</v>
      </c>
      <c r="P87" s="298">
        <v>0.57911197721694829</v>
      </c>
      <c r="Q87" s="298">
        <v>0.47588131924725879</v>
      </c>
      <c r="R87" s="298">
        <v>0.48332856078705327</v>
      </c>
      <c r="S87" s="298">
        <v>0.48332856078705327</v>
      </c>
      <c r="T87" s="298">
        <v>0.48332856078705327</v>
      </c>
      <c r="U87" s="298">
        <v>0.48332856078705327</v>
      </c>
    </row>
    <row r="88" spans="1:21" ht="14.4" x14ac:dyDescent="0.3">
      <c r="A88" s="43">
        <v>26</v>
      </c>
      <c r="B88" s="43"/>
      <c r="C88" s="1"/>
      <c r="D88" s="298">
        <v>5.0821504219815294E-2</v>
      </c>
      <c r="E88" s="298">
        <v>5.5062549483802257E-2</v>
      </c>
      <c r="F88" s="298">
        <v>2.6569838221547654E-2</v>
      </c>
      <c r="G88" s="298">
        <v>1.7180710354120391E-2</v>
      </c>
      <c r="H88" s="298">
        <v>1.4413765296386657E-2</v>
      </c>
      <c r="I88" s="298">
        <v>1.340051166752103E-2</v>
      </c>
      <c r="J88" s="298">
        <v>1.2261667576280695E-2</v>
      </c>
      <c r="K88" s="298">
        <v>1.1494261330574136E-2</v>
      </c>
      <c r="L88" s="298">
        <v>1.1502164549246671E-2</v>
      </c>
      <c r="M88" s="298">
        <v>6.3586835670058186E-3</v>
      </c>
      <c r="N88" s="298">
        <v>5.7283366829020497E-3</v>
      </c>
      <c r="O88" s="298">
        <v>1.4156391535011382E-3</v>
      </c>
      <c r="P88" s="298">
        <v>2.35923526977449E-3</v>
      </c>
      <c r="Q88" s="298">
        <v>3.048115692564884E-3</v>
      </c>
      <c r="R88" s="298">
        <v>2.505817916151253E-3</v>
      </c>
      <c r="S88" s="298">
        <v>2.505817916151253E-3</v>
      </c>
      <c r="T88" s="298">
        <v>2.505817916151253E-3</v>
      </c>
      <c r="U88" s="298">
        <v>2.505817916151253E-3</v>
      </c>
    </row>
    <row r="89" spans="1:21" ht="14.4" x14ac:dyDescent="0.3">
      <c r="A89" s="43">
        <v>27</v>
      </c>
      <c r="B89" s="43"/>
      <c r="C89" s="1"/>
      <c r="D89" s="298">
        <v>0.21238680360962095</v>
      </c>
      <c r="E89" s="298">
        <v>0.25707405179893289</v>
      </c>
      <c r="F89" s="298">
        <v>0.16073741316951387</v>
      </c>
      <c r="G89" s="298">
        <v>0.17380962651022741</v>
      </c>
      <c r="H89" s="298">
        <v>9.1193806224074303E-2</v>
      </c>
      <c r="I89" s="298">
        <v>0.33088372878460953</v>
      </c>
      <c r="J89" s="298">
        <v>0.40809218499146371</v>
      </c>
      <c r="K89" s="298">
        <v>0.28326195110267732</v>
      </c>
      <c r="L89" s="298">
        <v>0.20563582476045428</v>
      </c>
      <c r="M89" s="298">
        <v>0.15760505021576746</v>
      </c>
      <c r="N89" s="298">
        <v>9.9377043514666238E-2</v>
      </c>
      <c r="O89" s="298">
        <v>7.5391622206023953E-2</v>
      </c>
      <c r="P89" s="298">
        <v>6.8011485955306775E-2</v>
      </c>
      <c r="Q89" s="298">
        <v>5.56664765461901E-2</v>
      </c>
      <c r="R89" s="298">
        <v>5.3354821022066533E-2</v>
      </c>
      <c r="S89" s="298">
        <v>5.3354821022066533E-2</v>
      </c>
      <c r="T89" s="298">
        <v>5.3354821022066533E-2</v>
      </c>
      <c r="U89" s="298">
        <v>5.3354821022066533E-2</v>
      </c>
    </row>
    <row r="90" spans="1:21" ht="14.4" x14ac:dyDescent="0.3">
      <c r="A90" s="43">
        <v>28</v>
      </c>
      <c r="B90" s="43"/>
      <c r="C90" s="1"/>
      <c r="D90" s="298">
        <v>1.9392625777396737E-2</v>
      </c>
      <c r="E90" s="298">
        <v>4.7102518518670457E-2</v>
      </c>
      <c r="F90" s="298">
        <v>2.8971418661601897E-2</v>
      </c>
      <c r="G90" s="298">
        <v>1.1872541264805246E-2</v>
      </c>
      <c r="H90" s="298">
        <v>6.9611130983163278E-3</v>
      </c>
      <c r="I90" s="298">
        <v>8.5362681900183323E-3</v>
      </c>
      <c r="J90" s="298">
        <v>1.2556658041302614E-2</v>
      </c>
      <c r="K90" s="298">
        <v>1.0537656791068419E-2</v>
      </c>
      <c r="L90" s="298">
        <v>9.2930775732190107E-3</v>
      </c>
      <c r="M90" s="298">
        <v>3.3090135809581808E-3</v>
      </c>
      <c r="N90" s="298">
        <v>8.4429509332862738E-4</v>
      </c>
      <c r="O90" s="298">
        <v>1.7536756837702497E-3</v>
      </c>
      <c r="P90" s="298">
        <v>1.2486380283558422E-3</v>
      </c>
      <c r="Q90" s="298">
        <v>3.2293207653354824E-3</v>
      </c>
      <c r="R90" s="298">
        <v>2.7333925969108054E-3</v>
      </c>
      <c r="S90" s="298">
        <v>2.7333925969108054E-3</v>
      </c>
      <c r="T90" s="298">
        <v>2.7333925969108054E-3</v>
      </c>
      <c r="U90" s="298">
        <v>2.7333925969108054E-3</v>
      </c>
    </row>
    <row r="91" spans="1:21" ht="14.4" x14ac:dyDescent="0.3">
      <c r="A91" s="43">
        <v>29</v>
      </c>
      <c r="B91" s="43"/>
      <c r="C91" s="1"/>
      <c r="D91" s="298">
        <v>6.5146861253923207</v>
      </c>
      <c r="E91" s="298">
        <v>2.6788137999966111</v>
      </c>
      <c r="F91" s="298">
        <v>1.6106667515221753</v>
      </c>
      <c r="G91" s="298">
        <v>1.3975423047728013</v>
      </c>
      <c r="H91" s="298">
        <v>1.3999934630363924</v>
      </c>
      <c r="I91" s="298">
        <v>1.0907850218496227</v>
      </c>
      <c r="J91" s="298">
        <v>0.75870567381450926</v>
      </c>
      <c r="K91" s="298">
        <v>0.75678843679568575</v>
      </c>
      <c r="L91" s="298">
        <v>0.75575983296320848</v>
      </c>
      <c r="M91" s="298">
        <v>0.72478506133268517</v>
      </c>
      <c r="N91" s="298">
        <v>0.61840577400138186</v>
      </c>
      <c r="O91" s="298">
        <v>0.50578743449988961</v>
      </c>
      <c r="P91" s="298">
        <v>0.46727025134098182</v>
      </c>
      <c r="Q91" s="298">
        <v>0.45386743782930422</v>
      </c>
      <c r="R91" s="298">
        <v>0.4514293951690499</v>
      </c>
      <c r="S91" s="298">
        <v>0.4514293951690499</v>
      </c>
      <c r="T91" s="298">
        <v>0.4514293951690499</v>
      </c>
      <c r="U91" s="298">
        <v>0.4514293951690499</v>
      </c>
    </row>
    <row r="92" spans="1:21" ht="14.4" x14ac:dyDescent="0.3">
      <c r="A92" s="43">
        <v>30</v>
      </c>
      <c r="B92" s="43"/>
      <c r="C92" s="1"/>
      <c r="D92" s="298">
        <v>3.4884370898550648E-2</v>
      </c>
      <c r="E92" s="298">
        <v>4.1765772225850796E-3</v>
      </c>
      <c r="F92" s="298">
        <v>3.1945642193693534E-3</v>
      </c>
      <c r="G92" s="298">
        <v>3.60287707209932E-3</v>
      </c>
      <c r="H92" s="298">
        <v>3.2920300374340902E-3</v>
      </c>
      <c r="I92" s="298">
        <v>5.0314868423076246E-3</v>
      </c>
      <c r="J92" s="298">
        <v>4.6053075814346854E-3</v>
      </c>
      <c r="K92" s="298">
        <v>3.6991571943863818E-3</v>
      </c>
      <c r="L92" s="298">
        <v>1.9564019833816105E-3</v>
      </c>
      <c r="M92" s="298">
        <v>2.8717553777810353E-3</v>
      </c>
      <c r="N92" s="298">
        <v>2.6821760992090326E-3</v>
      </c>
      <c r="O92" s="298">
        <v>5.3985110846739104E-4</v>
      </c>
      <c r="P92" s="298">
        <v>8.6189772740157076E-4</v>
      </c>
      <c r="Q92" s="298">
        <v>7.0587971191137216E-4</v>
      </c>
      <c r="R92" s="298">
        <v>2.5967183728580682E-3</v>
      </c>
      <c r="S92" s="298">
        <v>2.5967183728580682E-3</v>
      </c>
      <c r="T92" s="298">
        <v>2.5967183728580682E-3</v>
      </c>
      <c r="U92" s="298">
        <v>2.5967183728580682E-3</v>
      </c>
    </row>
    <row r="93" spans="1:21" ht="14.4" x14ac:dyDescent="0.3">
      <c r="A93" s="43">
        <v>31</v>
      </c>
      <c r="B93" s="43"/>
      <c r="C93" s="1"/>
      <c r="D93" s="298">
        <v>6.3339107327432735</v>
      </c>
      <c r="E93" s="298">
        <v>2.4858685050570775</v>
      </c>
      <c r="F93" s="298">
        <v>1.4322222537619056</v>
      </c>
      <c r="G93" s="298">
        <v>0.82280279165842463</v>
      </c>
      <c r="H93" s="298">
        <v>0.68512353629472578</v>
      </c>
      <c r="I93" s="298">
        <v>0.58112005814292844</v>
      </c>
      <c r="J93" s="298">
        <v>0.56772740214173922</v>
      </c>
      <c r="K93" s="298">
        <v>0.46221863452787271</v>
      </c>
      <c r="L93" s="298">
        <v>0.42486576546865334</v>
      </c>
      <c r="M93" s="298">
        <v>0.43056874893088998</v>
      </c>
      <c r="N93" s="298">
        <v>0.43268010175951643</v>
      </c>
      <c r="O93" s="298">
        <v>0.37617527613812002</v>
      </c>
      <c r="P93" s="298">
        <v>0.31678577460681751</v>
      </c>
      <c r="Q93" s="298">
        <v>0.30877008317967913</v>
      </c>
      <c r="R93" s="298">
        <v>0.3120658886678041</v>
      </c>
      <c r="S93" s="298">
        <v>0.3120658886678041</v>
      </c>
      <c r="T93" s="298">
        <v>0.3120658886678041</v>
      </c>
      <c r="U93" s="298">
        <v>0.3120658886678041</v>
      </c>
    </row>
    <row r="94" spans="1:21" ht="14.4" x14ac:dyDescent="0.3">
      <c r="A94" s="43">
        <v>32</v>
      </c>
      <c r="B94" s="43"/>
      <c r="C94" s="1"/>
      <c r="D94" s="298">
        <v>4.6506205535545839E-2</v>
      </c>
      <c r="E94" s="298">
        <v>3.3260518350729629E-2</v>
      </c>
      <c r="F94" s="298">
        <v>2.9586195514357663E-2</v>
      </c>
      <c r="G94" s="298">
        <v>1.9535797704362808E-2</v>
      </c>
      <c r="H94" s="298">
        <v>1.4563606306652922E-2</v>
      </c>
      <c r="I94" s="298">
        <v>1.305927336868163E-2</v>
      </c>
      <c r="J94" s="298">
        <v>8.8970610246392086E-3</v>
      </c>
      <c r="K94" s="298">
        <v>1.1901375104307985E-2</v>
      </c>
      <c r="L94" s="298">
        <v>1.1921658515740853E-2</v>
      </c>
      <c r="M94" s="298">
        <v>5.9187663071225798E-3</v>
      </c>
      <c r="N94" s="298">
        <v>4.587462629749072E-3</v>
      </c>
      <c r="O94" s="298">
        <v>1.2699646308248702E-3</v>
      </c>
      <c r="P94" s="298">
        <v>2.2444292602197963E-3</v>
      </c>
      <c r="Q94" s="298">
        <v>2.8384966763810126E-3</v>
      </c>
      <c r="R94" s="298">
        <v>2.9287371239286731E-3</v>
      </c>
      <c r="S94" s="298">
        <v>2.9287371239286731E-3</v>
      </c>
      <c r="T94" s="298">
        <v>2.9287371239286731E-3</v>
      </c>
      <c r="U94" s="298">
        <v>2.9287371239286731E-3</v>
      </c>
    </row>
    <row r="95" spans="1:21" ht="14.4" x14ac:dyDescent="0.3">
      <c r="A95" s="43">
        <v>33</v>
      </c>
      <c r="B95" s="43"/>
      <c r="C95" s="1"/>
      <c r="D95" s="298">
        <v>0.30274927892914244</v>
      </c>
      <c r="E95" s="298">
        <v>1.7216657169820748E-2</v>
      </c>
      <c r="F95" s="298">
        <v>0.12233571605865014</v>
      </c>
      <c r="G95" s="298">
        <v>0.13605621192601108</v>
      </c>
      <c r="H95" s="298">
        <v>7.0763148414675126E-2</v>
      </c>
      <c r="I95" s="298">
        <v>0.26563628264177047</v>
      </c>
      <c r="J95" s="298">
        <v>0.34165566585023771</v>
      </c>
      <c r="K95" s="298">
        <v>0.22742267911109676</v>
      </c>
      <c r="L95" s="298">
        <v>0.15381673439332844</v>
      </c>
      <c r="M95" s="298">
        <v>0.11558930646976719</v>
      </c>
      <c r="N95" s="298">
        <v>8.4151409301761251E-2</v>
      </c>
      <c r="O95" s="298">
        <v>6.7503639523961864E-2</v>
      </c>
      <c r="P95" s="298">
        <v>5.6413371607669127E-2</v>
      </c>
      <c r="Q95" s="298">
        <v>4.1647697018963321E-2</v>
      </c>
      <c r="R95" s="298">
        <v>3.9799798597555773E-2</v>
      </c>
      <c r="S95" s="298">
        <v>3.9799798597555773E-2</v>
      </c>
      <c r="T95" s="298">
        <v>3.9799798597555773E-2</v>
      </c>
      <c r="U95" s="298">
        <v>3.9799798597555773E-2</v>
      </c>
    </row>
    <row r="96" spans="1:21" ht="14.4" x14ac:dyDescent="0.3">
      <c r="A96" s="43">
        <v>34</v>
      </c>
      <c r="B96" s="43"/>
      <c r="C96" s="1"/>
      <c r="D96" s="298">
        <v>0.15658261184107439</v>
      </c>
      <c r="E96" s="298">
        <v>6.9206297258360139E-2</v>
      </c>
      <c r="F96" s="298">
        <v>0.11719738000471913</v>
      </c>
      <c r="G96" s="298">
        <v>9.0950515996728487E-2</v>
      </c>
      <c r="H96" s="298">
        <v>5.6069430808107633E-2</v>
      </c>
      <c r="I96" s="298">
        <v>0.18457651004529252</v>
      </c>
      <c r="J96" s="298">
        <v>0.21861320828195963</v>
      </c>
      <c r="K96" s="298">
        <v>0.14805460867942424</v>
      </c>
      <c r="L96" s="298">
        <v>0.10865726471480185</v>
      </c>
      <c r="M96" s="298">
        <v>8.7921961526698345E-2</v>
      </c>
      <c r="N96" s="298">
        <v>5.8256465500538285E-2</v>
      </c>
      <c r="O96" s="298">
        <v>4.4253058727944716E-2</v>
      </c>
      <c r="P96" s="298">
        <v>3.9509788445304235E-2</v>
      </c>
      <c r="Q96" s="298">
        <v>2.9542651780987427E-2</v>
      </c>
      <c r="R96" s="298">
        <v>2.8071591122090556E-2</v>
      </c>
      <c r="S96" s="298">
        <v>2.8071591122090556E-2</v>
      </c>
      <c r="T96" s="298">
        <v>2.8071591122090556E-2</v>
      </c>
      <c r="U96" s="298">
        <v>2.8071591122090556E-2</v>
      </c>
    </row>
    <row r="97" spans="1:21" ht="14.4" x14ac:dyDescent="0.3">
      <c r="A97" s="43">
        <v>35</v>
      </c>
      <c r="B97" s="43"/>
      <c r="C97" s="1"/>
      <c r="D97" s="298">
        <v>5.9029852258662023</v>
      </c>
      <c r="E97" s="298">
        <v>1.4733260588243429</v>
      </c>
      <c r="F97" s="298">
        <v>1.2803616292235322</v>
      </c>
      <c r="G97" s="298">
        <v>1.0290257258239199</v>
      </c>
      <c r="H97" s="298">
        <v>0.95078684693100002</v>
      </c>
      <c r="I97" s="298">
        <v>0.68755518357204037</v>
      </c>
      <c r="J97" s="298">
        <v>0.51648077967213191</v>
      </c>
      <c r="K97" s="298">
        <v>0.5658478637815777</v>
      </c>
      <c r="L97" s="298">
        <v>0.55172205299175037</v>
      </c>
      <c r="M97" s="298">
        <v>0.48796466250698262</v>
      </c>
      <c r="N97" s="298">
        <v>0.39029335703643686</v>
      </c>
      <c r="O97" s="298">
        <v>0.36343466624775511</v>
      </c>
      <c r="P97" s="298">
        <v>0.35166631128246867</v>
      </c>
      <c r="Q97" s="298">
        <v>0.28545240285608292</v>
      </c>
      <c r="R97" s="298">
        <v>0.28281840150514814</v>
      </c>
      <c r="S97" s="298">
        <v>0.28281840150514814</v>
      </c>
      <c r="T97" s="298">
        <v>0.28281840150514814</v>
      </c>
      <c r="U97" s="298">
        <v>0.28281840150514814</v>
      </c>
    </row>
    <row r="98" spans="1:21" ht="14.4" x14ac:dyDescent="0.3">
      <c r="A98" s="43">
        <v>36</v>
      </c>
      <c r="B98" s="43"/>
      <c r="C98" s="1"/>
      <c r="D98" s="298">
        <v>0.15658261184107439</v>
      </c>
      <c r="E98" s="298">
        <v>6.9206297258360139E-2</v>
      </c>
      <c r="F98" s="298">
        <v>0.11719738000471913</v>
      </c>
      <c r="G98" s="298">
        <v>9.0950515996728487E-2</v>
      </c>
      <c r="H98" s="298">
        <v>5.6069430808107633E-2</v>
      </c>
      <c r="I98" s="298">
        <v>0.18457651004529252</v>
      </c>
      <c r="J98" s="298">
        <v>0.21861320828195963</v>
      </c>
      <c r="K98" s="298">
        <v>0.14805460867942424</v>
      </c>
      <c r="L98" s="298">
        <v>0.10865726471480185</v>
      </c>
      <c r="M98" s="298">
        <v>8.7921961526698345E-2</v>
      </c>
      <c r="N98" s="298">
        <v>5.8256465500538285E-2</v>
      </c>
      <c r="O98" s="298">
        <v>4.4253058727944716E-2</v>
      </c>
      <c r="P98" s="298">
        <v>3.9509788445304235E-2</v>
      </c>
      <c r="Q98" s="298">
        <v>2.9542651780987427E-2</v>
      </c>
      <c r="R98" s="298">
        <v>2.8071591122090556E-2</v>
      </c>
      <c r="S98" s="298">
        <v>2.8071591122090556E-2</v>
      </c>
      <c r="T98" s="298">
        <v>2.8071591122090556E-2</v>
      </c>
      <c r="U98" s="298">
        <v>2.8071591122090556E-2</v>
      </c>
    </row>
    <row r="99" spans="1:21" ht="14.4" x14ac:dyDescent="0.3">
      <c r="A99" s="43">
        <v>37</v>
      </c>
      <c r="B99" s="43"/>
      <c r="C99" s="1"/>
      <c r="D99" s="298">
        <v>4.7242605294817244</v>
      </c>
      <c r="E99" s="298">
        <v>1.4147795985274163</v>
      </c>
      <c r="F99" s="298">
        <v>0.86563302172429457</v>
      </c>
      <c r="G99" s="298">
        <v>0.58792408051231626</v>
      </c>
      <c r="H99" s="298">
        <v>0.44571284137714501</v>
      </c>
      <c r="I99" s="298">
        <v>0.35071388358174704</v>
      </c>
      <c r="J99" s="298">
        <v>0.34192356461046053</v>
      </c>
      <c r="K99" s="298">
        <v>0.32136315457507253</v>
      </c>
      <c r="L99" s="298">
        <v>0.32334277343163409</v>
      </c>
      <c r="M99" s="298">
        <v>0.31458122808120276</v>
      </c>
      <c r="N99" s="298">
        <v>0.26038899134139826</v>
      </c>
      <c r="O99" s="298">
        <v>0.23293659142238254</v>
      </c>
      <c r="P99" s="298">
        <v>0.23495243567481122</v>
      </c>
      <c r="Q99" s="298">
        <v>0.1983093021126322</v>
      </c>
      <c r="R99" s="298">
        <v>0.19995839901366486</v>
      </c>
      <c r="S99" s="298">
        <v>0.19995839901366486</v>
      </c>
      <c r="T99" s="298">
        <v>0.19995839901366486</v>
      </c>
      <c r="U99" s="298">
        <v>0.19995839901366486</v>
      </c>
    </row>
    <row r="100" spans="1:21" ht="14.4" x14ac:dyDescent="0.3">
      <c r="A100" s="43">
        <v>38</v>
      </c>
      <c r="B100" s="43"/>
      <c r="C100" s="1"/>
      <c r="D100" s="298">
        <v>0.15658261184107439</v>
      </c>
      <c r="E100" s="298">
        <v>6.9206297258360139E-2</v>
      </c>
      <c r="F100" s="298">
        <v>0.11719738000471913</v>
      </c>
      <c r="G100" s="298">
        <v>9.0950515996728487E-2</v>
      </c>
      <c r="H100" s="298">
        <v>5.6069430808107633E-2</v>
      </c>
      <c r="I100" s="298">
        <v>0.18457651004529252</v>
      </c>
      <c r="J100" s="298">
        <v>0.21861320828195963</v>
      </c>
      <c r="K100" s="298">
        <v>0.14805460867942424</v>
      </c>
      <c r="L100" s="298">
        <v>0.10865726471480185</v>
      </c>
      <c r="M100" s="298">
        <v>8.7921961526698345E-2</v>
      </c>
      <c r="N100" s="298">
        <v>5.8256465500538285E-2</v>
      </c>
      <c r="O100" s="298">
        <v>4.4253058727944716E-2</v>
      </c>
      <c r="P100" s="298">
        <v>3.9509788445304235E-2</v>
      </c>
      <c r="Q100" s="298">
        <v>2.9542651780987427E-2</v>
      </c>
      <c r="R100" s="298">
        <v>2.8071591122090556E-2</v>
      </c>
      <c r="S100" s="298">
        <v>2.8071591122090556E-2</v>
      </c>
      <c r="T100" s="298">
        <v>2.8071591122090556E-2</v>
      </c>
      <c r="U100" s="298">
        <v>2.8071591122090556E-2</v>
      </c>
    </row>
    <row r="101" spans="1:21" ht="14.4" x14ac:dyDescent="0.3">
      <c r="A101" s="43">
        <v>39</v>
      </c>
      <c r="B101" s="43"/>
      <c r="C101" s="1"/>
      <c r="D101" s="298">
        <v>0.2079850899943797</v>
      </c>
      <c r="E101" s="298">
        <v>0.13041647508011303</v>
      </c>
      <c r="F101" s="298">
        <v>0.12947509110634475</v>
      </c>
      <c r="G101" s="298">
        <v>0.11009404781577684</v>
      </c>
      <c r="H101" s="298">
        <v>6.014929527512837E-2</v>
      </c>
      <c r="I101" s="298">
        <v>0.21949671273146126</v>
      </c>
      <c r="J101" s="298">
        <v>0.27640701454444089</v>
      </c>
      <c r="K101" s="298">
        <v>0.17818419975534588</v>
      </c>
      <c r="L101" s="298">
        <v>0.12256174642203793</v>
      </c>
      <c r="M101" s="298">
        <v>9.8387203409769475E-2</v>
      </c>
      <c r="N101" s="298">
        <v>7.1958024598108364E-2</v>
      </c>
      <c r="O101" s="298">
        <v>5.1366620792552581E-2</v>
      </c>
      <c r="P101" s="298">
        <v>4.2850088405828553E-2</v>
      </c>
      <c r="Q101" s="298">
        <v>3.5922322150466021E-2</v>
      </c>
      <c r="R101" s="298">
        <v>3.4556391879303032E-2</v>
      </c>
      <c r="S101" s="298">
        <v>3.4556391879303032E-2</v>
      </c>
      <c r="T101" s="298">
        <v>3.4556391879303032E-2</v>
      </c>
      <c r="U101" s="298">
        <v>3.4556391879303032E-2</v>
      </c>
    </row>
    <row r="102" spans="1:21" ht="14.4" x14ac:dyDescent="0.3">
      <c r="A102" s="43">
        <v>40</v>
      </c>
      <c r="B102" s="43"/>
      <c r="C102" s="1"/>
      <c r="D102" s="298">
        <v>0.15658261184107439</v>
      </c>
      <c r="E102" s="298">
        <v>6.9206297258360139E-2</v>
      </c>
      <c r="F102" s="298">
        <v>0.11719738000471913</v>
      </c>
      <c r="G102" s="298">
        <v>9.0950515996728487E-2</v>
      </c>
      <c r="H102" s="298">
        <v>5.6069430808107633E-2</v>
      </c>
      <c r="I102" s="298">
        <v>0.18457651004529252</v>
      </c>
      <c r="J102" s="298">
        <v>0.21861320828195963</v>
      </c>
      <c r="K102" s="298">
        <v>0.14805460867942424</v>
      </c>
      <c r="L102" s="298">
        <v>0.10865726471480185</v>
      </c>
      <c r="M102" s="298">
        <v>8.7921961526698345E-2</v>
      </c>
      <c r="N102" s="298">
        <v>5.8256465500538285E-2</v>
      </c>
      <c r="O102" s="298">
        <v>4.4253058727944716E-2</v>
      </c>
      <c r="P102" s="298">
        <v>3.9509788445304235E-2</v>
      </c>
      <c r="Q102" s="298">
        <v>2.9542651780987427E-2</v>
      </c>
      <c r="R102" s="298">
        <v>2.8071591122090556E-2</v>
      </c>
      <c r="S102" s="298">
        <v>2.8071591122090556E-2</v>
      </c>
      <c r="T102" s="298">
        <v>2.8071591122090556E-2</v>
      </c>
      <c r="U102" s="298">
        <v>2.8071591122090556E-2</v>
      </c>
    </row>
    <row r="103" spans="1:21" ht="14.4" x14ac:dyDescent="0.3">
      <c r="A103" s="43">
        <v>41</v>
      </c>
      <c r="B103" s="43"/>
      <c r="C103" s="1"/>
      <c r="D103" s="298">
        <v>2.9593523720748518</v>
      </c>
      <c r="E103" s="298">
        <v>1.3960448536050045</v>
      </c>
      <c r="F103" s="298">
        <v>0.9788469484846104</v>
      </c>
      <c r="G103" s="298">
        <v>0.76626902234982497</v>
      </c>
      <c r="H103" s="298">
        <v>0.64986432358583057</v>
      </c>
      <c r="I103" s="298">
        <v>0.49479101470748305</v>
      </c>
      <c r="J103" s="298">
        <v>0.39951328972932304</v>
      </c>
      <c r="K103" s="298">
        <v>0.41594580564321404</v>
      </c>
      <c r="L103" s="298">
        <v>0.37579029347140652</v>
      </c>
      <c r="M103" s="298">
        <v>0.32440122806902955</v>
      </c>
      <c r="N103" s="298">
        <v>0.30529874652047795</v>
      </c>
      <c r="O103" s="298">
        <v>0.272856325769609</v>
      </c>
      <c r="P103" s="298">
        <v>0.23528249165808171</v>
      </c>
      <c r="Q103" s="298">
        <v>0.21930268062364178</v>
      </c>
      <c r="R103" s="298">
        <v>0.21942223358685053</v>
      </c>
      <c r="S103" s="298">
        <v>0.21942223358685053</v>
      </c>
      <c r="T103" s="298">
        <v>0.21942223358685053</v>
      </c>
      <c r="U103" s="298">
        <v>0.21942223358685053</v>
      </c>
    </row>
    <row r="104" spans="1:21" ht="14.4" x14ac:dyDescent="0.3">
      <c r="A104" s="43">
        <v>42</v>
      </c>
      <c r="B104" s="43"/>
      <c r="C104" s="1"/>
      <c r="D104" s="298">
        <v>0.15658261184107439</v>
      </c>
      <c r="E104" s="298">
        <v>6.9206297258360139E-2</v>
      </c>
      <c r="F104" s="298">
        <v>0.11719738000471913</v>
      </c>
      <c r="G104" s="298">
        <v>9.0950515996728487E-2</v>
      </c>
      <c r="H104" s="298">
        <v>5.6069430808107633E-2</v>
      </c>
      <c r="I104" s="298">
        <v>0.18457651004529252</v>
      </c>
      <c r="J104" s="298">
        <v>0.21861320828195963</v>
      </c>
      <c r="K104" s="298">
        <v>0.14805460867942424</v>
      </c>
      <c r="L104" s="298">
        <v>0.10865726471480185</v>
      </c>
      <c r="M104" s="298">
        <v>8.7921961526698345E-2</v>
      </c>
      <c r="N104" s="298">
        <v>5.8256465500538285E-2</v>
      </c>
      <c r="O104" s="298">
        <v>4.4253058727944716E-2</v>
      </c>
      <c r="P104" s="298">
        <v>3.9509788445304235E-2</v>
      </c>
      <c r="Q104" s="298">
        <v>2.9542651780987427E-2</v>
      </c>
      <c r="R104" s="298">
        <v>2.8071591122090556E-2</v>
      </c>
      <c r="S104" s="298">
        <v>2.8071591122090556E-2</v>
      </c>
      <c r="T104" s="298">
        <v>2.8071591122090556E-2</v>
      </c>
      <c r="U104" s="298">
        <v>2.8071591122090556E-2</v>
      </c>
    </row>
    <row r="105" spans="1:21" ht="14.4" x14ac:dyDescent="0.3">
      <c r="A105" s="43">
        <v>43</v>
      </c>
      <c r="B105" s="43"/>
      <c r="C105" s="1"/>
      <c r="D105" s="298">
        <v>2.2178560512821952</v>
      </c>
      <c r="E105" s="298">
        <v>1.1905972320783262</v>
      </c>
      <c r="F105" s="298">
        <v>0.75615175660327605</v>
      </c>
      <c r="G105" s="298">
        <v>0.45362551647456517</v>
      </c>
      <c r="H105" s="298">
        <v>0.28528173727691464</v>
      </c>
      <c r="I105" s="298">
        <v>0.21779752656057286</v>
      </c>
      <c r="J105" s="298">
        <v>0.25538951981730396</v>
      </c>
      <c r="K105" s="298">
        <v>0.24818871965708805</v>
      </c>
      <c r="L105" s="298">
        <v>0.22308863199724832</v>
      </c>
      <c r="M105" s="298">
        <v>0.19779080449305989</v>
      </c>
      <c r="N105" s="298">
        <v>0.1877023014843526</v>
      </c>
      <c r="O105" s="298">
        <v>0.18024721970812474</v>
      </c>
      <c r="P105" s="298">
        <v>0.14969356494618877</v>
      </c>
      <c r="Q105" s="298">
        <v>0.15402172112964774</v>
      </c>
      <c r="R105" s="298">
        <v>0.14788153997371078</v>
      </c>
      <c r="S105" s="298">
        <v>0.14788153997371078</v>
      </c>
      <c r="T105" s="298">
        <v>0.14788153997371078</v>
      </c>
      <c r="U105" s="298">
        <v>0.14788153997371078</v>
      </c>
    </row>
    <row r="106" spans="1:21" ht="14.4" x14ac:dyDescent="0.3">
      <c r="A106" s="43">
        <v>44</v>
      </c>
      <c r="B106" s="43"/>
      <c r="C106" s="1"/>
      <c r="D106" s="298">
        <v>0.15658261184107439</v>
      </c>
      <c r="E106" s="298">
        <v>6.9206297258360139E-2</v>
      </c>
      <c r="F106" s="298">
        <v>0.11719738000471913</v>
      </c>
      <c r="G106" s="298">
        <v>9.0950515996728487E-2</v>
      </c>
      <c r="H106" s="298">
        <v>5.6069430808107633E-2</v>
      </c>
      <c r="I106" s="298">
        <v>0.18457651004529252</v>
      </c>
      <c r="J106" s="298">
        <v>0.21861320828195963</v>
      </c>
      <c r="K106" s="298">
        <v>0.14805460867942424</v>
      </c>
      <c r="L106" s="298">
        <v>0.10865726471480185</v>
      </c>
      <c r="M106" s="298">
        <v>8.7921961526698345E-2</v>
      </c>
      <c r="N106" s="298">
        <v>5.8256465500538285E-2</v>
      </c>
      <c r="O106" s="298">
        <v>4.4253058727944716E-2</v>
      </c>
      <c r="P106" s="298">
        <v>3.9509788445304235E-2</v>
      </c>
      <c r="Q106" s="298">
        <v>2.9542651780987427E-2</v>
      </c>
      <c r="R106" s="298">
        <v>2.8071591122090556E-2</v>
      </c>
      <c r="S106" s="298">
        <v>2.8071591122090556E-2</v>
      </c>
      <c r="T106" s="298">
        <v>2.8071591122090556E-2</v>
      </c>
      <c r="U106" s="298">
        <v>2.8071591122090556E-2</v>
      </c>
    </row>
    <row r="107" spans="1:21" ht="14.4" x14ac:dyDescent="0.3">
      <c r="A107" s="43">
        <v>45</v>
      </c>
      <c r="B107" s="43"/>
      <c r="C107" s="1"/>
      <c r="D107" s="298">
        <v>0.15674381381219379</v>
      </c>
      <c r="E107" s="298">
        <v>6.9135515452953725E-2</v>
      </c>
      <c r="F107" s="298">
        <v>0.11721931861181524</v>
      </c>
      <c r="G107" s="298">
        <v>9.0976276916425139E-2</v>
      </c>
      <c r="H107" s="298">
        <v>5.5974795488511517E-2</v>
      </c>
      <c r="I107" s="298">
        <v>0.18455139999068912</v>
      </c>
      <c r="J107" s="298">
        <v>0.21866515563030009</v>
      </c>
      <c r="K107" s="298">
        <v>0.14808361462956454</v>
      </c>
      <c r="L107" s="298">
        <v>0.10867252849450271</v>
      </c>
      <c r="M107" s="298">
        <v>8.7932880027034033E-2</v>
      </c>
      <c r="N107" s="298">
        <v>5.8261619608528936E-2</v>
      </c>
      <c r="O107" s="298">
        <v>4.4254803859095013E-2</v>
      </c>
      <c r="P107" s="298">
        <v>3.9511622355493263E-2</v>
      </c>
      <c r="Q107" s="298">
        <v>2.9543012509050892E-2</v>
      </c>
      <c r="R107" s="298">
        <v>2.8071590865564936E-2</v>
      </c>
      <c r="S107" s="298">
        <v>2.8071590865564936E-2</v>
      </c>
      <c r="T107" s="298">
        <v>2.8071590865564936E-2</v>
      </c>
      <c r="U107" s="298">
        <v>2.8071590865564936E-2</v>
      </c>
    </row>
    <row r="108" spans="1:21" ht="14.4" x14ac:dyDescent="0.3">
      <c r="A108" s="43">
        <v>46</v>
      </c>
      <c r="B108" s="43"/>
      <c r="C108" s="1"/>
      <c r="D108" s="298">
        <v>0.15658261184107439</v>
      </c>
      <c r="E108" s="298">
        <v>6.9206297258360139E-2</v>
      </c>
      <c r="F108" s="298">
        <v>0.11719738000471913</v>
      </c>
      <c r="G108" s="298">
        <v>9.0950515996728487E-2</v>
      </c>
      <c r="H108" s="298">
        <v>5.6069430808107633E-2</v>
      </c>
      <c r="I108" s="298">
        <v>0.18457651004529252</v>
      </c>
      <c r="J108" s="298">
        <v>0.21861320828195963</v>
      </c>
      <c r="K108" s="298">
        <v>0.14805460867942424</v>
      </c>
      <c r="L108" s="298">
        <v>0.10865726471480185</v>
      </c>
      <c r="M108" s="298">
        <v>8.7921961526698345E-2</v>
      </c>
      <c r="N108" s="298">
        <v>5.8256465500538285E-2</v>
      </c>
      <c r="O108" s="298">
        <v>4.4253058727944716E-2</v>
      </c>
      <c r="P108" s="298">
        <v>3.9509788445304235E-2</v>
      </c>
      <c r="Q108" s="298">
        <v>2.9542651780987427E-2</v>
      </c>
      <c r="R108" s="298">
        <v>2.8071591122090556E-2</v>
      </c>
      <c r="S108" s="298">
        <v>2.8071591122090556E-2</v>
      </c>
      <c r="T108" s="298">
        <v>2.8071591122090556E-2</v>
      </c>
      <c r="U108" s="298">
        <v>2.8071591122090556E-2</v>
      </c>
    </row>
    <row r="109" spans="1:21" ht="14.4" x14ac:dyDescent="0.3">
      <c r="A109" s="43">
        <v>47</v>
      </c>
      <c r="B109" s="43"/>
      <c r="C109" s="1"/>
      <c r="D109" s="298">
        <v>2.3268630691236321</v>
      </c>
      <c r="E109" s="298">
        <v>0.78641478977548207</v>
      </c>
      <c r="F109" s="298">
        <v>0.65683719239534155</v>
      </c>
      <c r="G109" s="298">
        <v>0.58143321676267457</v>
      </c>
      <c r="H109" s="298">
        <v>0.44928960665019158</v>
      </c>
      <c r="I109" s="298">
        <v>0.41294151992551731</v>
      </c>
      <c r="J109" s="298">
        <v>0.2940568330031525</v>
      </c>
      <c r="K109" s="298">
        <v>0.2786885915405366</v>
      </c>
      <c r="L109" s="298">
        <v>0.26697263616116279</v>
      </c>
      <c r="M109" s="298">
        <v>0.26064585390490097</v>
      </c>
      <c r="N109" s="298">
        <v>0.2367936036530196</v>
      </c>
      <c r="O109" s="298">
        <v>0.19038468562778788</v>
      </c>
      <c r="P109" s="298">
        <v>0.18456070692514012</v>
      </c>
      <c r="Q109" s="298">
        <v>0.16108516476637483</v>
      </c>
      <c r="R109" s="298">
        <v>0.15522073313539117</v>
      </c>
      <c r="S109" s="298">
        <v>0.15522073313539117</v>
      </c>
      <c r="T109" s="298">
        <v>0.15522073313539117</v>
      </c>
      <c r="U109" s="298">
        <v>0.15522073313539117</v>
      </c>
    </row>
    <row r="110" spans="1:21" ht="14.4" x14ac:dyDescent="0.3">
      <c r="A110" s="43">
        <v>48</v>
      </c>
      <c r="B110" s="43"/>
      <c r="C110" s="1"/>
      <c r="D110" s="298">
        <v>0.15658261184107439</v>
      </c>
      <c r="E110" s="298">
        <v>6.9206297258360139E-2</v>
      </c>
      <c r="F110" s="298">
        <v>0.11719738000471913</v>
      </c>
      <c r="G110" s="298">
        <v>9.0950515996728487E-2</v>
      </c>
      <c r="H110" s="298">
        <v>5.6069430808107633E-2</v>
      </c>
      <c r="I110" s="298">
        <v>0.18457651004529252</v>
      </c>
      <c r="J110" s="298">
        <v>0.21861320828195963</v>
      </c>
      <c r="K110" s="298">
        <v>0.14805460867942424</v>
      </c>
      <c r="L110" s="298">
        <v>0.10865726471480185</v>
      </c>
      <c r="M110" s="298">
        <v>8.7921961526698345E-2</v>
      </c>
      <c r="N110" s="298">
        <v>5.8256465500538285E-2</v>
      </c>
      <c r="O110" s="298">
        <v>4.4253058727944716E-2</v>
      </c>
      <c r="P110" s="298">
        <v>3.9509788445304235E-2</v>
      </c>
      <c r="Q110" s="298">
        <v>2.9542651780987427E-2</v>
      </c>
      <c r="R110" s="298">
        <v>2.8071591122090556E-2</v>
      </c>
      <c r="S110" s="298">
        <v>2.8071591122090556E-2</v>
      </c>
      <c r="T110" s="298">
        <v>2.8071591122090556E-2</v>
      </c>
      <c r="U110" s="298">
        <v>2.8071591122090556E-2</v>
      </c>
    </row>
    <row r="111" spans="1:21" ht="14.4" x14ac:dyDescent="0.3">
      <c r="A111" s="43">
        <v>49</v>
      </c>
      <c r="B111" s="43"/>
      <c r="C111" s="1"/>
      <c r="D111" s="298">
        <v>2.222090686942058</v>
      </c>
      <c r="E111" s="298">
        <v>0.8231320290067401</v>
      </c>
      <c r="F111" s="298">
        <v>0.54372728367538525</v>
      </c>
      <c r="G111" s="298">
        <v>0.33388586731319231</v>
      </c>
      <c r="H111" s="298">
        <v>0.20472977887589594</v>
      </c>
      <c r="I111" s="298">
        <v>0.16067909526322774</v>
      </c>
      <c r="J111" s="298">
        <v>0.19635848943192444</v>
      </c>
      <c r="K111" s="298">
        <v>0.18022284651166184</v>
      </c>
      <c r="L111" s="298">
        <v>0.15241194609444156</v>
      </c>
      <c r="M111" s="298">
        <v>0.14568078669873447</v>
      </c>
      <c r="N111" s="298">
        <v>0.14316623416465049</v>
      </c>
      <c r="O111" s="298">
        <v>0.11820986355275069</v>
      </c>
      <c r="P111" s="298">
        <v>0.11324661442841535</v>
      </c>
      <c r="Q111" s="298">
        <v>0.10591950094820782</v>
      </c>
      <c r="R111" s="298">
        <v>0.10181373046970461</v>
      </c>
      <c r="S111" s="298">
        <v>0.10181373046970461</v>
      </c>
      <c r="T111" s="298">
        <v>0.10181373046970461</v>
      </c>
      <c r="U111" s="298">
        <v>0.10181373046970461</v>
      </c>
    </row>
    <row r="112" spans="1:21" ht="14.4" x14ac:dyDescent="0.3">
      <c r="A112" s="43">
        <v>50</v>
      </c>
      <c r="B112" s="43"/>
      <c r="C112" s="1"/>
      <c r="D112" s="298">
        <v>0.15658261184107439</v>
      </c>
      <c r="E112" s="298">
        <v>6.9206297258360139E-2</v>
      </c>
      <c r="F112" s="298">
        <v>0.11719738000471913</v>
      </c>
      <c r="G112" s="298">
        <v>9.0950515996728487E-2</v>
      </c>
      <c r="H112" s="298">
        <v>5.6069430808107633E-2</v>
      </c>
      <c r="I112" s="298">
        <v>0.18457651004529252</v>
      </c>
      <c r="J112" s="298">
        <v>0.21861320828195963</v>
      </c>
      <c r="K112" s="298">
        <v>0.14805460867942424</v>
      </c>
      <c r="L112" s="298">
        <v>0.10865726471480185</v>
      </c>
      <c r="M112" s="298">
        <v>8.7921961526698345E-2</v>
      </c>
      <c r="N112" s="298">
        <v>5.8256465500538285E-2</v>
      </c>
      <c r="O112" s="298">
        <v>4.4253058727944716E-2</v>
      </c>
      <c r="P112" s="298">
        <v>3.9509788445304235E-2</v>
      </c>
      <c r="Q112" s="298">
        <v>2.9542651780987427E-2</v>
      </c>
      <c r="R112" s="298">
        <v>2.8071591122090556E-2</v>
      </c>
      <c r="S112" s="298">
        <v>2.8071591122090556E-2</v>
      </c>
      <c r="T112" s="298">
        <v>2.8071591122090556E-2</v>
      </c>
      <c r="U112" s="298">
        <v>2.8071591122090556E-2</v>
      </c>
    </row>
    <row r="113" spans="2:21" x14ac:dyDescent="0.25">
      <c r="D113" s="51"/>
    </row>
    <row r="114" spans="2:21" x14ac:dyDescent="0.25">
      <c r="B114" s="26" t="s">
        <v>5</v>
      </c>
      <c r="D114" s="32">
        <f t="shared" ref="D114:U114" si="7">SQRT(SUMSQ(D64:D112))</f>
        <v>163.93774717643851</v>
      </c>
      <c r="E114" s="32">
        <f t="shared" si="7"/>
        <v>113.48802501155089</v>
      </c>
      <c r="F114" s="32">
        <f t="shared" si="7"/>
        <v>92.201479834948017</v>
      </c>
      <c r="G114" s="32">
        <f t="shared" si="7"/>
        <v>70.914070764570482</v>
      </c>
      <c r="H114" s="32">
        <f t="shared" si="7"/>
        <v>54.750054571794223</v>
      </c>
      <c r="I114" s="32">
        <f t="shared" si="7"/>
        <v>45.409107972180678</v>
      </c>
      <c r="J114" s="32">
        <f t="shared" si="7"/>
        <v>40.452846599409661</v>
      </c>
      <c r="K114" s="32">
        <f t="shared" si="7"/>
        <v>36.567604373048553</v>
      </c>
      <c r="L114" s="32">
        <f t="shared" si="7"/>
        <v>33.722497172696237</v>
      </c>
      <c r="M114" s="32">
        <f t="shared" si="7"/>
        <v>31.537820676686238</v>
      </c>
      <c r="N114" s="32">
        <f t="shared" si="7"/>
        <v>28.353599859458789</v>
      </c>
      <c r="O114" s="32">
        <f t="shared" si="7"/>
        <v>26.003967172553079</v>
      </c>
      <c r="P114" s="32">
        <f t="shared" si="7"/>
        <v>24.160245237926446</v>
      </c>
      <c r="Q114" s="32">
        <f t="shared" si="7"/>
        <v>21.249690073067327</v>
      </c>
      <c r="R114" s="32">
        <f t="shared" si="7"/>
        <v>21.247242746791578</v>
      </c>
      <c r="S114" s="32">
        <f t="shared" si="7"/>
        <v>21.247242746791578</v>
      </c>
      <c r="T114" s="32">
        <f t="shared" si="7"/>
        <v>21.247242746791578</v>
      </c>
      <c r="U114" s="32">
        <f t="shared" si="7"/>
        <v>21.247242746791578</v>
      </c>
    </row>
    <row r="116" spans="2:21" x14ac:dyDescent="0.25">
      <c r="D116" s="32"/>
      <c r="E116" s="32"/>
      <c r="F116" s="32"/>
      <c r="G116" s="32"/>
      <c r="H116" s="32"/>
      <c r="I116" s="32"/>
    </row>
    <row r="118" spans="2:21" x14ac:dyDescent="0.25">
      <c r="D118" s="32"/>
      <c r="E118" s="32"/>
      <c r="F118" s="32"/>
      <c r="G118" s="32"/>
      <c r="H118" s="32"/>
      <c r="I118" s="32"/>
    </row>
  </sheetData>
  <pageMargins left="0.75" right="0.75" top="1" bottom="1" header="0.5" footer="0.5"/>
  <pageSetup scale="86" fitToWidth="2" fitToHeight="2" orientation="portrait" r:id="rId1"/>
  <headerFooter alignWithMargins="0">
    <oddHeader>&amp;R&amp;D
&amp;T
rh</oddHeader>
    <oddFooter>&amp;L&amp;F
&amp;A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U118"/>
  <sheetViews>
    <sheetView workbookViewId="0">
      <selection activeCell="H4" sqref="H4:H53"/>
    </sheetView>
  </sheetViews>
  <sheetFormatPr defaultRowHeight="13.2" x14ac:dyDescent="0.25"/>
  <cols>
    <col min="1" max="6" width="9.109375" style="26"/>
    <col min="7" max="7" width="9.109375" style="26" customWidth="1"/>
    <col min="8" max="8" width="10.6640625" style="26" customWidth="1"/>
    <col min="9" max="262" width="9.109375" style="26"/>
    <col min="263" max="263" width="9.5546875" style="26" bestFit="1" customWidth="1"/>
    <col min="264" max="264" width="10.6640625" style="26" customWidth="1"/>
    <col min="265" max="518" width="9.109375" style="26"/>
    <col min="519" max="519" width="9.5546875" style="26" bestFit="1" customWidth="1"/>
    <col min="520" max="520" width="10.6640625" style="26" customWidth="1"/>
    <col min="521" max="774" width="9.109375" style="26"/>
    <col min="775" max="775" width="9.5546875" style="26" bestFit="1" customWidth="1"/>
    <col min="776" max="776" width="10.6640625" style="26" customWidth="1"/>
    <col min="777" max="1030" width="9.109375" style="26"/>
    <col min="1031" max="1031" width="9.5546875" style="26" bestFit="1" customWidth="1"/>
    <col min="1032" max="1032" width="10.6640625" style="26" customWidth="1"/>
    <col min="1033" max="1286" width="9.109375" style="26"/>
    <col min="1287" max="1287" width="9.5546875" style="26" bestFit="1" customWidth="1"/>
    <col min="1288" max="1288" width="10.6640625" style="26" customWidth="1"/>
    <col min="1289" max="1542" width="9.109375" style="26"/>
    <col min="1543" max="1543" width="9.5546875" style="26" bestFit="1" customWidth="1"/>
    <col min="1544" max="1544" width="10.6640625" style="26" customWidth="1"/>
    <col min="1545" max="1798" width="9.109375" style="26"/>
    <col min="1799" max="1799" width="9.5546875" style="26" bestFit="1" customWidth="1"/>
    <col min="1800" max="1800" width="10.6640625" style="26" customWidth="1"/>
    <col min="1801" max="2054" width="9.109375" style="26"/>
    <col min="2055" max="2055" width="9.5546875" style="26" bestFit="1" customWidth="1"/>
    <col min="2056" max="2056" width="10.6640625" style="26" customWidth="1"/>
    <col min="2057" max="2310" width="9.109375" style="26"/>
    <col min="2311" max="2311" width="9.5546875" style="26" bestFit="1" customWidth="1"/>
    <col min="2312" max="2312" width="10.6640625" style="26" customWidth="1"/>
    <col min="2313" max="2566" width="9.109375" style="26"/>
    <col min="2567" max="2567" width="9.5546875" style="26" bestFit="1" customWidth="1"/>
    <col min="2568" max="2568" width="10.6640625" style="26" customWidth="1"/>
    <col min="2569" max="2822" width="9.109375" style="26"/>
    <col min="2823" max="2823" width="9.5546875" style="26" bestFit="1" customWidth="1"/>
    <col min="2824" max="2824" width="10.6640625" style="26" customWidth="1"/>
    <col min="2825" max="3078" width="9.109375" style="26"/>
    <col min="3079" max="3079" width="9.5546875" style="26" bestFit="1" customWidth="1"/>
    <col min="3080" max="3080" width="10.6640625" style="26" customWidth="1"/>
    <col min="3081" max="3334" width="9.109375" style="26"/>
    <col min="3335" max="3335" width="9.5546875" style="26" bestFit="1" customWidth="1"/>
    <col min="3336" max="3336" width="10.6640625" style="26" customWidth="1"/>
    <col min="3337" max="3590" width="9.109375" style="26"/>
    <col min="3591" max="3591" width="9.5546875" style="26" bestFit="1" customWidth="1"/>
    <col min="3592" max="3592" width="10.6640625" style="26" customWidth="1"/>
    <col min="3593" max="3846" width="9.109375" style="26"/>
    <col min="3847" max="3847" width="9.5546875" style="26" bestFit="1" customWidth="1"/>
    <col min="3848" max="3848" width="10.6640625" style="26" customWidth="1"/>
    <col min="3849" max="4102" width="9.109375" style="26"/>
    <col min="4103" max="4103" width="9.5546875" style="26" bestFit="1" customWidth="1"/>
    <col min="4104" max="4104" width="10.6640625" style="26" customWidth="1"/>
    <col min="4105" max="4358" width="9.109375" style="26"/>
    <col min="4359" max="4359" width="9.5546875" style="26" bestFit="1" customWidth="1"/>
    <col min="4360" max="4360" width="10.6640625" style="26" customWidth="1"/>
    <col min="4361" max="4614" width="9.109375" style="26"/>
    <col min="4615" max="4615" width="9.5546875" style="26" bestFit="1" customWidth="1"/>
    <col min="4616" max="4616" width="10.6640625" style="26" customWidth="1"/>
    <col min="4617" max="4870" width="9.109375" style="26"/>
    <col min="4871" max="4871" width="9.5546875" style="26" bestFit="1" customWidth="1"/>
    <col min="4872" max="4872" width="10.6640625" style="26" customWidth="1"/>
    <col min="4873" max="5126" width="9.109375" style="26"/>
    <col min="5127" max="5127" width="9.5546875" style="26" bestFit="1" customWidth="1"/>
    <col min="5128" max="5128" width="10.6640625" style="26" customWidth="1"/>
    <col min="5129" max="5382" width="9.109375" style="26"/>
    <col min="5383" max="5383" width="9.5546875" style="26" bestFit="1" customWidth="1"/>
    <col min="5384" max="5384" width="10.6640625" style="26" customWidth="1"/>
    <col min="5385" max="5638" width="9.109375" style="26"/>
    <col min="5639" max="5639" width="9.5546875" style="26" bestFit="1" customWidth="1"/>
    <col min="5640" max="5640" width="10.6640625" style="26" customWidth="1"/>
    <col min="5641" max="5894" width="9.109375" style="26"/>
    <col min="5895" max="5895" width="9.5546875" style="26" bestFit="1" customWidth="1"/>
    <col min="5896" max="5896" width="10.6640625" style="26" customWidth="1"/>
    <col min="5897" max="6150" width="9.109375" style="26"/>
    <col min="6151" max="6151" width="9.5546875" style="26" bestFit="1" customWidth="1"/>
    <col min="6152" max="6152" width="10.6640625" style="26" customWidth="1"/>
    <col min="6153" max="6406" width="9.109375" style="26"/>
    <col min="6407" max="6407" width="9.5546875" style="26" bestFit="1" customWidth="1"/>
    <col min="6408" max="6408" width="10.6640625" style="26" customWidth="1"/>
    <col min="6409" max="6662" width="9.109375" style="26"/>
    <col min="6663" max="6663" width="9.5546875" style="26" bestFit="1" customWidth="1"/>
    <col min="6664" max="6664" width="10.6640625" style="26" customWidth="1"/>
    <col min="6665" max="6918" width="9.109375" style="26"/>
    <col min="6919" max="6919" width="9.5546875" style="26" bestFit="1" customWidth="1"/>
    <col min="6920" max="6920" width="10.6640625" style="26" customWidth="1"/>
    <col min="6921" max="7174" width="9.109375" style="26"/>
    <col min="7175" max="7175" width="9.5546875" style="26" bestFit="1" customWidth="1"/>
    <col min="7176" max="7176" width="10.6640625" style="26" customWidth="1"/>
    <col min="7177" max="7430" width="9.109375" style="26"/>
    <col min="7431" max="7431" width="9.5546875" style="26" bestFit="1" customWidth="1"/>
    <col min="7432" max="7432" width="10.6640625" style="26" customWidth="1"/>
    <col min="7433" max="7686" width="9.109375" style="26"/>
    <col min="7687" max="7687" width="9.5546875" style="26" bestFit="1" customWidth="1"/>
    <col min="7688" max="7688" width="10.6640625" style="26" customWidth="1"/>
    <col min="7689" max="7942" width="9.109375" style="26"/>
    <col min="7943" max="7943" width="9.5546875" style="26" bestFit="1" customWidth="1"/>
    <col min="7944" max="7944" width="10.6640625" style="26" customWidth="1"/>
    <col min="7945" max="8198" width="9.109375" style="26"/>
    <col min="8199" max="8199" width="9.5546875" style="26" bestFit="1" customWidth="1"/>
    <col min="8200" max="8200" width="10.6640625" style="26" customWidth="1"/>
    <col min="8201" max="8454" width="9.109375" style="26"/>
    <col min="8455" max="8455" width="9.5546875" style="26" bestFit="1" customWidth="1"/>
    <col min="8456" max="8456" width="10.6640625" style="26" customWidth="1"/>
    <col min="8457" max="8710" width="9.109375" style="26"/>
    <col min="8711" max="8711" width="9.5546875" style="26" bestFit="1" customWidth="1"/>
    <col min="8712" max="8712" width="10.6640625" style="26" customWidth="1"/>
    <col min="8713" max="8966" width="9.109375" style="26"/>
    <col min="8967" max="8967" width="9.5546875" style="26" bestFit="1" customWidth="1"/>
    <col min="8968" max="8968" width="10.6640625" style="26" customWidth="1"/>
    <col min="8969" max="9222" width="9.109375" style="26"/>
    <col min="9223" max="9223" width="9.5546875" style="26" bestFit="1" customWidth="1"/>
    <col min="9224" max="9224" width="10.6640625" style="26" customWidth="1"/>
    <col min="9225" max="9478" width="9.109375" style="26"/>
    <col min="9479" max="9479" width="9.5546875" style="26" bestFit="1" customWidth="1"/>
    <col min="9480" max="9480" width="10.6640625" style="26" customWidth="1"/>
    <col min="9481" max="9734" width="9.109375" style="26"/>
    <col min="9735" max="9735" width="9.5546875" style="26" bestFit="1" customWidth="1"/>
    <col min="9736" max="9736" width="10.6640625" style="26" customWidth="1"/>
    <col min="9737" max="9990" width="9.109375" style="26"/>
    <col min="9991" max="9991" width="9.5546875" style="26" bestFit="1" customWidth="1"/>
    <col min="9992" max="9992" width="10.6640625" style="26" customWidth="1"/>
    <col min="9993" max="10246" width="9.109375" style="26"/>
    <col min="10247" max="10247" width="9.5546875" style="26" bestFit="1" customWidth="1"/>
    <col min="10248" max="10248" width="10.6640625" style="26" customWidth="1"/>
    <col min="10249" max="10502" width="9.109375" style="26"/>
    <col min="10503" max="10503" width="9.5546875" style="26" bestFit="1" customWidth="1"/>
    <col min="10504" max="10504" width="10.6640625" style="26" customWidth="1"/>
    <col min="10505" max="10758" width="9.109375" style="26"/>
    <col min="10759" max="10759" width="9.5546875" style="26" bestFit="1" customWidth="1"/>
    <col min="10760" max="10760" width="10.6640625" style="26" customWidth="1"/>
    <col min="10761" max="11014" width="9.109375" style="26"/>
    <col min="11015" max="11015" width="9.5546875" style="26" bestFit="1" customWidth="1"/>
    <col min="11016" max="11016" width="10.6640625" style="26" customWidth="1"/>
    <col min="11017" max="11270" width="9.109375" style="26"/>
    <col min="11271" max="11271" width="9.5546875" style="26" bestFit="1" customWidth="1"/>
    <col min="11272" max="11272" width="10.6640625" style="26" customWidth="1"/>
    <col min="11273" max="11526" width="9.109375" style="26"/>
    <col min="11527" max="11527" width="9.5546875" style="26" bestFit="1" customWidth="1"/>
    <col min="11528" max="11528" width="10.6640625" style="26" customWidth="1"/>
    <col min="11529" max="11782" width="9.109375" style="26"/>
    <col min="11783" max="11783" width="9.5546875" style="26" bestFit="1" customWidth="1"/>
    <col min="11784" max="11784" width="10.6640625" style="26" customWidth="1"/>
    <col min="11785" max="12038" width="9.109375" style="26"/>
    <col min="12039" max="12039" width="9.5546875" style="26" bestFit="1" customWidth="1"/>
    <col min="12040" max="12040" width="10.6640625" style="26" customWidth="1"/>
    <col min="12041" max="12294" width="9.109375" style="26"/>
    <col min="12295" max="12295" width="9.5546875" style="26" bestFit="1" customWidth="1"/>
    <col min="12296" max="12296" width="10.6640625" style="26" customWidth="1"/>
    <col min="12297" max="12550" width="9.109375" style="26"/>
    <col min="12551" max="12551" width="9.5546875" style="26" bestFit="1" customWidth="1"/>
    <col min="12552" max="12552" width="10.6640625" style="26" customWidth="1"/>
    <col min="12553" max="12806" width="9.109375" style="26"/>
    <col min="12807" max="12807" width="9.5546875" style="26" bestFit="1" customWidth="1"/>
    <col min="12808" max="12808" width="10.6640625" style="26" customWidth="1"/>
    <col min="12809" max="13062" width="9.109375" style="26"/>
    <col min="13063" max="13063" width="9.5546875" style="26" bestFit="1" customWidth="1"/>
    <col min="13064" max="13064" width="10.6640625" style="26" customWidth="1"/>
    <col min="13065" max="13318" width="9.109375" style="26"/>
    <col min="13319" max="13319" width="9.5546875" style="26" bestFit="1" customWidth="1"/>
    <col min="13320" max="13320" width="10.6640625" style="26" customWidth="1"/>
    <col min="13321" max="13574" width="9.109375" style="26"/>
    <col min="13575" max="13575" width="9.5546875" style="26" bestFit="1" customWidth="1"/>
    <col min="13576" max="13576" width="10.6640625" style="26" customWidth="1"/>
    <col min="13577" max="13830" width="9.109375" style="26"/>
    <col min="13831" max="13831" width="9.5546875" style="26" bestFit="1" customWidth="1"/>
    <col min="13832" max="13832" width="10.6640625" style="26" customWidth="1"/>
    <col min="13833" max="14086" width="9.109375" style="26"/>
    <col min="14087" max="14087" width="9.5546875" style="26" bestFit="1" customWidth="1"/>
    <col min="14088" max="14088" width="10.6640625" style="26" customWidth="1"/>
    <col min="14089" max="14342" width="9.109375" style="26"/>
    <col min="14343" max="14343" width="9.5546875" style="26" bestFit="1" customWidth="1"/>
    <col min="14344" max="14344" width="10.6640625" style="26" customWidth="1"/>
    <col min="14345" max="14598" width="9.109375" style="26"/>
    <col min="14599" max="14599" width="9.5546875" style="26" bestFit="1" customWidth="1"/>
    <col min="14600" max="14600" width="10.6640625" style="26" customWidth="1"/>
    <col min="14601" max="14854" width="9.109375" style="26"/>
    <col min="14855" max="14855" width="9.5546875" style="26" bestFit="1" customWidth="1"/>
    <col min="14856" max="14856" width="10.6640625" style="26" customWidth="1"/>
    <col min="14857" max="15110" width="9.109375" style="26"/>
    <col min="15111" max="15111" width="9.5546875" style="26" bestFit="1" customWidth="1"/>
    <col min="15112" max="15112" width="10.6640625" style="26" customWidth="1"/>
    <col min="15113" max="15366" width="9.109375" style="26"/>
    <col min="15367" max="15367" width="9.5546875" style="26" bestFit="1" customWidth="1"/>
    <col min="15368" max="15368" width="10.6640625" style="26" customWidth="1"/>
    <col min="15369" max="15622" width="9.109375" style="26"/>
    <col min="15623" max="15623" width="9.5546875" style="26" bestFit="1" customWidth="1"/>
    <col min="15624" max="15624" width="10.6640625" style="26" customWidth="1"/>
    <col min="15625" max="15878" width="9.109375" style="26"/>
    <col min="15879" max="15879" width="9.5546875" style="26" bestFit="1" customWidth="1"/>
    <col min="15880" max="15880" width="10.6640625" style="26" customWidth="1"/>
    <col min="15881" max="16134" width="9.109375" style="26"/>
    <col min="16135" max="16135" width="9.5546875" style="26" bestFit="1" customWidth="1"/>
    <col min="16136" max="16136" width="10.6640625" style="26" customWidth="1"/>
    <col min="16137" max="16384" width="9.109375" style="26"/>
  </cols>
  <sheetData>
    <row r="1" spans="1:15" ht="13.8" thickBot="1" x14ac:dyDescent="0.3">
      <c r="A1" s="84" t="s">
        <v>283</v>
      </c>
      <c r="B1" s="275" t="s">
        <v>402</v>
      </c>
      <c r="C1" s="33">
        <f>Drives!BA23</f>
        <v>38490.017945975058</v>
      </c>
      <c r="D1" s="28" t="s">
        <v>7</v>
      </c>
      <c r="E1" s="300">
        <v>10</v>
      </c>
      <c r="F1" s="301">
        <f>MAX(0.1,E1+100/C1)</f>
        <v>10.002598076211353</v>
      </c>
      <c r="G1" s="36" t="s">
        <v>1</v>
      </c>
      <c r="H1" s="29">
        <f>IF(J1=0,0,H4/J1)</f>
        <v>0</v>
      </c>
      <c r="I1" s="54" t="s">
        <v>94</v>
      </c>
      <c r="J1" s="34">
        <f>Drives!Z23</f>
        <v>0</v>
      </c>
      <c r="K1" s="26" t="s">
        <v>84</v>
      </c>
      <c r="N1" s="254">
        <v>0.95499999999999996</v>
      </c>
      <c r="O1" s="26" t="s">
        <v>176</v>
      </c>
    </row>
    <row r="2" spans="1:15" x14ac:dyDescent="0.25">
      <c r="A2" s="269" t="s">
        <v>88</v>
      </c>
      <c r="B2" s="276">
        <v>23</v>
      </c>
      <c r="D2" s="26">
        <f>C4+1</f>
        <v>11</v>
      </c>
      <c r="E2" s="41">
        <f>F1-C3</f>
        <v>2.5980762113526623E-3</v>
      </c>
      <c r="F2" s="36"/>
      <c r="G2" s="36"/>
      <c r="J2" s="29">
        <f>IF(J1&gt;=0.6, 0.7+(J1-0.6)*0.75, IF(J1&gt;=0.2, 0.3+(J1-0.2)*1, J1*1.5))</f>
        <v>0</v>
      </c>
      <c r="K2" s="26" t="s">
        <v>60</v>
      </c>
    </row>
    <row r="3" spans="1:15" ht="13.8" thickBot="1" x14ac:dyDescent="0.3">
      <c r="A3" s="270" t="s">
        <v>365</v>
      </c>
      <c r="C3" s="41">
        <f>HLOOKUP($F$1,$D$62:$U$113,(B3+1))</f>
        <v>10</v>
      </c>
      <c r="D3" s="41">
        <f>HLOOKUP($D$2,$D$61:$U$113,(B3+2))</f>
        <v>12</v>
      </c>
      <c r="E3" s="26">
        <f>D3-C3</f>
        <v>2</v>
      </c>
      <c r="F3" s="26">
        <f>IF(E3=0,1,E2/E3)</f>
        <v>1.2990381056763312E-3</v>
      </c>
      <c r="G3" s="32">
        <f>C3+(E3*F3)</f>
        <v>10.002598076211353</v>
      </c>
      <c r="J3" s="31"/>
    </row>
    <row r="4" spans="1:15" ht="13.8" thickBot="1" x14ac:dyDescent="0.3">
      <c r="A4" s="31" t="s">
        <v>90</v>
      </c>
      <c r="B4" s="26">
        <v>1</v>
      </c>
      <c r="C4" s="302">
        <f t="shared" ref="C4:C53" si="0">HLOOKUP($F$1,$D$62:$U$113,(B4+1))</f>
        <v>10</v>
      </c>
      <c r="D4" s="302">
        <f t="shared" ref="D4:D53" si="1">HLOOKUP($D$2,$D$61:$U$113,(B4+2))</f>
        <v>11</v>
      </c>
      <c r="G4" s="27">
        <v>100</v>
      </c>
      <c r="H4" s="34">
        <f>Drives!AR23</f>
        <v>0</v>
      </c>
      <c r="I4" s="26" t="s">
        <v>53</v>
      </c>
    </row>
    <row r="5" spans="1:15" x14ac:dyDescent="0.25">
      <c r="A5" s="31"/>
      <c r="B5" s="26">
        <v>2</v>
      </c>
      <c r="C5" s="52">
        <f t="shared" si="0"/>
        <v>2.636287592484499E-2</v>
      </c>
      <c r="D5" s="52">
        <f t="shared" si="1"/>
        <v>3.9068771982494086E-3</v>
      </c>
      <c r="E5" s="48">
        <f t="shared" ref="E5:E53" si="2">D5-C5</f>
        <v>-2.245599872659558E-2</v>
      </c>
      <c r="F5" s="48">
        <f t="shared" ref="F5:F53" si="3">E5*$F$3</f>
        <v>-2.9171198046866828E-5</v>
      </c>
      <c r="G5" s="48">
        <f t="shared" ref="G5:G53" si="4">C5+F5</f>
        <v>2.6333704726798121E-2</v>
      </c>
      <c r="H5" s="30">
        <f>J$2*G5*$H$1/100</f>
        <v>0</v>
      </c>
    </row>
    <row r="6" spans="1:15" x14ac:dyDescent="0.25">
      <c r="A6" s="270" t="s">
        <v>407</v>
      </c>
      <c r="B6" s="26">
        <v>3</v>
      </c>
      <c r="C6" s="52">
        <f t="shared" si="0"/>
        <v>1.976424393859703</v>
      </c>
      <c r="D6" s="52">
        <f t="shared" si="1"/>
        <v>1.512989131711088</v>
      </c>
      <c r="E6" s="48">
        <f t="shared" si="2"/>
        <v>-0.46343526214861508</v>
      </c>
      <c r="F6" s="48">
        <f t="shared" si="3"/>
        <v>-6.0202006504515089E-4</v>
      </c>
      <c r="G6" s="48">
        <f t="shared" si="4"/>
        <v>1.9758223737946579</v>
      </c>
      <c r="H6" s="30">
        <f t="shared" ref="H6:H53" si="5">J$2*G6*$H$1/100</f>
        <v>0</v>
      </c>
    </row>
    <row r="7" spans="1:15" x14ac:dyDescent="0.25">
      <c r="A7" s="270" t="s">
        <v>92</v>
      </c>
      <c r="B7" s="26">
        <v>4</v>
      </c>
      <c r="C7" s="52">
        <f t="shared" si="0"/>
        <v>3.4977738354405041E-3</v>
      </c>
      <c r="D7" s="52">
        <f t="shared" si="1"/>
        <v>3.318391374383355E-3</v>
      </c>
      <c r="E7" s="48">
        <f t="shared" si="2"/>
        <v>-1.7938246105714912E-4</v>
      </c>
      <c r="F7" s="48">
        <f t="shared" si="3"/>
        <v>-2.3302465240323725E-7</v>
      </c>
      <c r="G7" s="48">
        <f t="shared" si="4"/>
        <v>3.4975408107881011E-3</v>
      </c>
      <c r="H7" s="30">
        <f t="shared" si="5"/>
        <v>0</v>
      </c>
    </row>
    <row r="8" spans="1:15" x14ac:dyDescent="0.25">
      <c r="A8" s="50"/>
      <c r="B8" s="26">
        <v>5</v>
      </c>
      <c r="C8" s="52">
        <f t="shared" si="0"/>
        <v>26.829447444032468</v>
      </c>
      <c r="D8" s="52">
        <f t="shared" si="1"/>
        <v>24.524377947577921</v>
      </c>
      <c r="E8" s="48">
        <f t="shared" si="2"/>
        <v>-2.3050694964545464</v>
      </c>
      <c r="F8" s="48">
        <f t="shared" si="3"/>
        <v>-2.9943731121266086E-3</v>
      </c>
      <c r="G8" s="48">
        <f t="shared" si="4"/>
        <v>26.826453070920341</v>
      </c>
      <c r="H8" s="30">
        <f t="shared" si="5"/>
        <v>0</v>
      </c>
    </row>
    <row r="9" spans="1:15" x14ac:dyDescent="0.25">
      <c r="A9" s="50"/>
      <c r="B9" s="26">
        <v>6</v>
      </c>
      <c r="C9" s="52">
        <f t="shared" si="0"/>
        <v>4.9368015428742544E-3</v>
      </c>
      <c r="D9" s="52">
        <f t="shared" si="1"/>
        <v>2.1005572354824645E-3</v>
      </c>
      <c r="E9" s="48">
        <f t="shared" si="2"/>
        <v>-2.8362443073917899E-3</v>
      </c>
      <c r="F9" s="48">
        <f t="shared" si="3"/>
        <v>-3.6843894323095088E-6</v>
      </c>
      <c r="G9" s="48">
        <f t="shared" si="4"/>
        <v>4.9331171534419448E-3</v>
      </c>
      <c r="H9" s="30">
        <f t="shared" si="5"/>
        <v>0</v>
      </c>
    </row>
    <row r="10" spans="1:15" x14ac:dyDescent="0.25">
      <c r="B10" s="26">
        <v>7</v>
      </c>
      <c r="C10" s="52">
        <f t="shared" si="0"/>
        <v>6.5166708279323533</v>
      </c>
      <c r="D10" s="52">
        <f t="shared" si="1"/>
        <v>6.6273860488121423</v>
      </c>
      <c r="E10" s="48">
        <f t="shared" si="2"/>
        <v>0.11071522087978902</v>
      </c>
      <c r="F10" s="48">
        <f t="shared" si="3"/>
        <v>1.4382329080121772E-4</v>
      </c>
      <c r="G10" s="48">
        <f t="shared" si="4"/>
        <v>6.5168146512231546</v>
      </c>
      <c r="H10" s="30">
        <f t="shared" si="5"/>
        <v>0</v>
      </c>
    </row>
    <row r="11" spans="1:15" x14ac:dyDescent="0.25">
      <c r="B11" s="26">
        <v>8</v>
      </c>
      <c r="C11" s="52">
        <f t="shared" si="0"/>
        <v>2.5415807506222721E-3</v>
      </c>
      <c r="D11" s="52">
        <f t="shared" si="1"/>
        <v>1.2216655309818655E-3</v>
      </c>
      <c r="E11" s="48">
        <f t="shared" si="2"/>
        <v>-1.3199152196404066E-3</v>
      </c>
      <c r="F11" s="48">
        <f t="shared" si="3"/>
        <v>-1.7146201665750324E-6</v>
      </c>
      <c r="G11" s="48">
        <f t="shared" si="4"/>
        <v>2.539866130455697E-3</v>
      </c>
      <c r="H11" s="30">
        <f t="shared" si="5"/>
        <v>0</v>
      </c>
    </row>
    <row r="12" spans="1:15" x14ac:dyDescent="0.25">
      <c r="B12" s="26">
        <v>9</v>
      </c>
      <c r="C12" s="52">
        <f t="shared" si="0"/>
        <v>0.31868142208094846</v>
      </c>
      <c r="D12" s="52">
        <f t="shared" si="1"/>
        <v>0.22626624756676589</v>
      </c>
      <c r="E12" s="48">
        <f t="shared" si="2"/>
        <v>-9.2415174514182574E-2</v>
      </c>
      <c r="F12" s="48">
        <f t="shared" si="3"/>
        <v>-1.2005083323665128E-4</v>
      </c>
      <c r="G12" s="48">
        <f t="shared" si="4"/>
        <v>0.31856137124771183</v>
      </c>
      <c r="H12" s="30">
        <f t="shared" si="5"/>
        <v>0</v>
      </c>
    </row>
    <row r="13" spans="1:15" x14ac:dyDescent="0.25">
      <c r="B13" s="26">
        <v>10</v>
      </c>
      <c r="C13" s="52">
        <f t="shared" si="0"/>
        <v>5.9000829249238182E-3</v>
      </c>
      <c r="D13" s="52">
        <f t="shared" si="1"/>
        <v>2.8410236973985879E-3</v>
      </c>
      <c r="E13" s="48">
        <f t="shared" si="2"/>
        <v>-3.0590592275252303E-3</v>
      </c>
      <c r="F13" s="48">
        <f t="shared" si="3"/>
        <v>-3.973834504076076E-6</v>
      </c>
      <c r="G13" s="48">
        <f t="shared" si="4"/>
        <v>5.8961090904197421E-3</v>
      </c>
      <c r="H13" s="30">
        <f t="shared" si="5"/>
        <v>0</v>
      </c>
    </row>
    <row r="14" spans="1:15" x14ac:dyDescent="0.25">
      <c r="B14" s="26">
        <v>11</v>
      </c>
      <c r="C14" s="52">
        <f t="shared" si="0"/>
        <v>4.7731220793376856</v>
      </c>
      <c r="D14" s="52">
        <f t="shared" si="1"/>
        <v>4.037747204995374</v>
      </c>
      <c r="E14" s="48">
        <f t="shared" si="2"/>
        <v>-0.73537487434231164</v>
      </c>
      <c r="F14" s="48">
        <f t="shared" si="3"/>
        <v>-9.552799837276066E-4</v>
      </c>
      <c r="G14" s="48">
        <f t="shared" si="4"/>
        <v>4.7721667993539576</v>
      </c>
      <c r="H14" s="30">
        <f t="shared" si="5"/>
        <v>0</v>
      </c>
    </row>
    <row r="15" spans="1:15" x14ac:dyDescent="0.25">
      <c r="B15" s="26">
        <v>12</v>
      </c>
      <c r="C15" s="52">
        <f t="shared" si="0"/>
        <v>3.3387817150023614E-3</v>
      </c>
      <c r="D15" s="52">
        <f t="shared" si="1"/>
        <v>7.0415228820549169E-4</v>
      </c>
      <c r="E15" s="48">
        <f t="shared" si="2"/>
        <v>-2.6346294267968699E-3</v>
      </c>
      <c r="F15" s="48">
        <f t="shared" si="3"/>
        <v>-3.4224840197453242E-6</v>
      </c>
      <c r="G15" s="48">
        <f t="shared" si="4"/>
        <v>3.3353592309826163E-3</v>
      </c>
      <c r="H15" s="30">
        <f t="shared" si="5"/>
        <v>0</v>
      </c>
    </row>
    <row r="16" spans="1:15" x14ac:dyDescent="0.25">
      <c r="B16" s="26">
        <v>13</v>
      </c>
      <c r="C16" s="52">
        <f t="shared" si="0"/>
        <v>2.9413990501469054</v>
      </c>
      <c r="D16" s="52">
        <f t="shared" si="1"/>
        <v>2.6891381919916104</v>
      </c>
      <c r="E16" s="48">
        <f t="shared" si="2"/>
        <v>-0.25226085815529498</v>
      </c>
      <c r="F16" s="48">
        <f t="shared" si="3"/>
        <v>-3.2769646731434004E-4</v>
      </c>
      <c r="G16" s="48">
        <f t="shared" si="4"/>
        <v>2.9410713536795909</v>
      </c>
      <c r="H16" s="30">
        <f t="shared" si="5"/>
        <v>0</v>
      </c>
    </row>
    <row r="17" spans="2:8" x14ac:dyDescent="0.25">
      <c r="B17" s="26">
        <v>14</v>
      </c>
      <c r="C17" s="52">
        <f t="shared" si="0"/>
        <v>6.0541163970223889E-3</v>
      </c>
      <c r="D17" s="52">
        <f t="shared" si="1"/>
        <v>8.8566143641728831E-4</v>
      </c>
      <c r="E17" s="48">
        <f t="shared" si="2"/>
        <v>-5.1684549606051009E-3</v>
      </c>
      <c r="F17" s="48">
        <f t="shared" si="3"/>
        <v>-6.7140199412978869E-6</v>
      </c>
      <c r="G17" s="48">
        <f t="shared" si="4"/>
        <v>6.0474023770810906E-3</v>
      </c>
      <c r="H17" s="30">
        <f t="shared" si="5"/>
        <v>0</v>
      </c>
    </row>
    <row r="18" spans="2:8" x14ac:dyDescent="0.25">
      <c r="B18" s="26">
        <v>15</v>
      </c>
      <c r="C18" s="52">
        <f t="shared" si="0"/>
        <v>0.17863761703347875</v>
      </c>
      <c r="D18" s="52">
        <f t="shared" si="1"/>
        <v>0.15238590146764369</v>
      </c>
      <c r="E18" s="48">
        <f t="shared" si="2"/>
        <v>-2.6251715565835054E-2</v>
      </c>
      <c r="F18" s="48">
        <f t="shared" si="3"/>
        <v>-3.4101978859396226E-5</v>
      </c>
      <c r="G18" s="48">
        <f t="shared" si="4"/>
        <v>0.17860351505461936</v>
      </c>
      <c r="H18" s="30">
        <f t="shared" si="5"/>
        <v>0</v>
      </c>
    </row>
    <row r="19" spans="2:8" x14ac:dyDescent="0.25">
      <c r="B19" s="26">
        <v>16</v>
      </c>
      <c r="C19" s="52">
        <f t="shared" si="0"/>
        <v>1.5412362332936629E-3</v>
      </c>
      <c r="D19" s="52">
        <f t="shared" si="1"/>
        <v>1.7707278526791228E-3</v>
      </c>
      <c r="E19" s="48">
        <f t="shared" si="2"/>
        <v>2.2949161938545987E-4</v>
      </c>
      <c r="F19" s="48">
        <f t="shared" si="3"/>
        <v>2.9811835851508137E-7</v>
      </c>
      <c r="G19" s="48">
        <f t="shared" si="4"/>
        <v>1.5415343516521781E-3</v>
      </c>
      <c r="H19" s="30">
        <f t="shared" si="5"/>
        <v>0</v>
      </c>
    </row>
    <row r="20" spans="2:8" x14ac:dyDescent="0.25">
      <c r="B20" s="26">
        <v>17</v>
      </c>
      <c r="C20" s="52">
        <f t="shared" si="0"/>
        <v>1.5324828885585096</v>
      </c>
      <c r="D20" s="52">
        <f t="shared" si="1"/>
        <v>1.4251739565426205</v>
      </c>
      <c r="E20" s="48">
        <f t="shared" si="2"/>
        <v>-0.10730893201588909</v>
      </c>
      <c r="F20" s="48">
        <f t="shared" si="3"/>
        <v>-1.3939839176807078E-4</v>
      </c>
      <c r="G20" s="48">
        <f t="shared" si="4"/>
        <v>1.5323434901667414</v>
      </c>
      <c r="H20" s="30">
        <f t="shared" si="5"/>
        <v>0</v>
      </c>
    </row>
    <row r="21" spans="2:8" x14ac:dyDescent="0.25">
      <c r="B21" s="26">
        <v>18</v>
      </c>
      <c r="C21" s="52">
        <f t="shared" si="0"/>
        <v>2.3022193218101682E-3</v>
      </c>
      <c r="D21" s="52">
        <f t="shared" si="1"/>
        <v>7.1766985210155283E-4</v>
      </c>
      <c r="E21" s="48">
        <f t="shared" si="2"/>
        <v>-1.5845494697086155E-3</v>
      </c>
      <c r="F21" s="48">
        <f t="shared" si="3"/>
        <v>-2.0583901414807151E-6</v>
      </c>
      <c r="G21" s="48">
        <f t="shared" si="4"/>
        <v>2.3001609316686874E-3</v>
      </c>
      <c r="H21" s="30">
        <f t="shared" si="5"/>
        <v>0</v>
      </c>
    </row>
    <row r="22" spans="2:8" x14ac:dyDescent="0.25">
      <c r="B22" s="26">
        <v>19</v>
      </c>
      <c r="C22" s="52">
        <f t="shared" si="0"/>
        <v>1.1978760529333901</v>
      </c>
      <c r="D22" s="52">
        <f t="shared" si="1"/>
        <v>0.96493434637770215</v>
      </c>
      <c r="E22" s="48">
        <f t="shared" si="2"/>
        <v>-0.23294170655568791</v>
      </c>
      <c r="F22" s="48">
        <f t="shared" si="3"/>
        <v>-3.0260015321711265E-4</v>
      </c>
      <c r="G22" s="48">
        <f t="shared" si="4"/>
        <v>1.1975734527801729</v>
      </c>
      <c r="H22" s="30">
        <f t="shared" si="5"/>
        <v>0</v>
      </c>
    </row>
    <row r="23" spans="2:8" x14ac:dyDescent="0.25">
      <c r="B23" s="26">
        <v>20</v>
      </c>
      <c r="C23" s="52">
        <f t="shared" si="0"/>
        <v>4.289924599988241E-3</v>
      </c>
      <c r="D23" s="52">
        <f t="shared" si="1"/>
        <v>2.3631359410929234E-3</v>
      </c>
      <c r="E23" s="48">
        <f t="shared" si="2"/>
        <v>-1.9267886588953177E-3</v>
      </c>
      <c r="F23" s="48">
        <f t="shared" si="3"/>
        <v>-2.5029718894900119E-6</v>
      </c>
      <c r="G23" s="48">
        <f t="shared" si="4"/>
        <v>4.2874216280987514E-3</v>
      </c>
      <c r="H23" s="30">
        <f t="shared" si="5"/>
        <v>0</v>
      </c>
    </row>
    <row r="24" spans="2:8" x14ac:dyDescent="0.25">
      <c r="B24" s="26">
        <v>21</v>
      </c>
      <c r="C24" s="52">
        <f t="shared" si="0"/>
        <v>0.14886071320433725</v>
      </c>
      <c r="D24" s="52">
        <f t="shared" si="1"/>
        <v>0.11057082122039739</v>
      </c>
      <c r="E24" s="48">
        <f t="shared" si="2"/>
        <v>-3.8289891983939853E-2</v>
      </c>
      <c r="F24" s="48">
        <f t="shared" si="3"/>
        <v>-4.9740028749368562E-5</v>
      </c>
      <c r="G24" s="48">
        <f t="shared" si="4"/>
        <v>0.14881097317558789</v>
      </c>
      <c r="H24" s="30">
        <f t="shared" si="5"/>
        <v>0</v>
      </c>
    </row>
    <row r="25" spans="2:8" x14ac:dyDescent="0.25">
      <c r="B25" s="26">
        <v>22</v>
      </c>
      <c r="C25" s="52">
        <f t="shared" si="0"/>
        <v>1.7693174251628295E-3</v>
      </c>
      <c r="D25" s="52">
        <f t="shared" si="1"/>
        <v>2.3683965026528521E-3</v>
      </c>
      <c r="E25" s="48">
        <f t="shared" si="2"/>
        <v>5.9907907749002262E-4</v>
      </c>
      <c r="F25" s="48">
        <f t="shared" si="3"/>
        <v>7.7822654997296301E-7</v>
      </c>
      <c r="G25" s="48">
        <f t="shared" si="4"/>
        <v>1.7700956517128024E-3</v>
      </c>
      <c r="H25" s="30">
        <f t="shared" si="5"/>
        <v>0</v>
      </c>
    </row>
    <row r="26" spans="2:8" x14ac:dyDescent="0.25">
      <c r="B26" s="26">
        <v>23</v>
      </c>
      <c r="C26" s="52">
        <f t="shared" si="0"/>
        <v>0.97151910927620677</v>
      </c>
      <c r="D26" s="52">
        <f t="shared" si="1"/>
        <v>0.91499109629030073</v>
      </c>
      <c r="E26" s="48">
        <f t="shared" si="2"/>
        <v>-5.652801298590604E-2</v>
      </c>
      <c r="F26" s="48">
        <f t="shared" si="3"/>
        <v>-7.3432042906858429E-5</v>
      </c>
      <c r="G26" s="48">
        <f t="shared" si="4"/>
        <v>0.97144567723329989</v>
      </c>
      <c r="H26" s="30">
        <f t="shared" si="5"/>
        <v>0</v>
      </c>
    </row>
    <row r="27" spans="2:8" x14ac:dyDescent="0.25">
      <c r="B27" s="26">
        <v>24</v>
      </c>
      <c r="C27" s="52">
        <f t="shared" si="0"/>
        <v>1.6642059470906843E-3</v>
      </c>
      <c r="D27" s="52">
        <f t="shared" si="1"/>
        <v>5.0465814106315395E-4</v>
      </c>
      <c r="E27" s="48">
        <f t="shared" si="2"/>
        <v>-1.1595478060275302E-3</v>
      </c>
      <c r="F27" s="48">
        <f t="shared" si="3"/>
        <v>-1.5062967853831488E-6</v>
      </c>
      <c r="G27" s="48">
        <f t="shared" si="4"/>
        <v>1.662699650305301E-3</v>
      </c>
      <c r="H27" s="30">
        <f t="shared" si="5"/>
        <v>0</v>
      </c>
    </row>
    <row r="28" spans="2:8" x14ac:dyDescent="0.25">
      <c r="B28" s="26">
        <v>25</v>
      </c>
      <c r="C28" s="52">
        <f t="shared" si="0"/>
        <v>0.60410783726699213</v>
      </c>
      <c r="D28" s="52">
        <f t="shared" si="1"/>
        <v>0.59625159344747769</v>
      </c>
      <c r="E28" s="48">
        <f t="shared" si="2"/>
        <v>-7.8562438195144413E-3</v>
      </c>
      <c r="F28" s="48">
        <f t="shared" si="3"/>
        <v>-1.0205560089033424E-5</v>
      </c>
      <c r="G28" s="48">
        <f t="shared" si="4"/>
        <v>0.60409763170690312</v>
      </c>
      <c r="H28" s="30">
        <f t="shared" si="5"/>
        <v>0</v>
      </c>
    </row>
    <row r="29" spans="2:8" x14ac:dyDescent="0.25">
      <c r="B29" s="26">
        <v>26</v>
      </c>
      <c r="C29" s="52">
        <f t="shared" si="0"/>
        <v>5.7283366829020497E-3</v>
      </c>
      <c r="D29" s="52">
        <f t="shared" si="1"/>
        <v>1.4156391535011382E-3</v>
      </c>
      <c r="E29" s="48">
        <f t="shared" si="2"/>
        <v>-4.312697529400911E-3</v>
      </c>
      <c r="F29" s="48">
        <f t="shared" si="3"/>
        <v>-5.602358428947953E-6</v>
      </c>
      <c r="G29" s="48">
        <f t="shared" si="4"/>
        <v>5.7227343244731013E-3</v>
      </c>
      <c r="H29" s="30">
        <f t="shared" si="5"/>
        <v>0</v>
      </c>
    </row>
    <row r="30" spans="2:8" x14ac:dyDescent="0.25">
      <c r="B30" s="26">
        <v>27</v>
      </c>
      <c r="C30" s="52">
        <f t="shared" si="0"/>
        <v>9.9377043514666238E-2</v>
      </c>
      <c r="D30" s="52">
        <f t="shared" si="1"/>
        <v>7.5391622206023953E-2</v>
      </c>
      <c r="E30" s="48">
        <f t="shared" si="2"/>
        <v>-2.3985421308642285E-2</v>
      </c>
      <c r="F30" s="48">
        <f t="shared" si="3"/>
        <v>-3.1157976260627379E-5</v>
      </c>
      <c r="G30" s="48">
        <f t="shared" si="4"/>
        <v>9.9345885538405607E-2</v>
      </c>
      <c r="H30" s="30">
        <f t="shared" si="5"/>
        <v>0</v>
      </c>
    </row>
    <row r="31" spans="2:8" x14ac:dyDescent="0.25">
      <c r="B31" s="26">
        <v>28</v>
      </c>
      <c r="C31" s="52">
        <f t="shared" si="0"/>
        <v>8.4429509332862738E-4</v>
      </c>
      <c r="D31" s="52">
        <f t="shared" si="1"/>
        <v>1.7536756837702497E-3</v>
      </c>
      <c r="E31" s="48">
        <f t="shared" si="2"/>
        <v>9.0938059044162235E-4</v>
      </c>
      <c r="F31" s="48">
        <f t="shared" si="3"/>
        <v>1.1813200395461086E-6</v>
      </c>
      <c r="G31" s="48">
        <f t="shared" si="4"/>
        <v>8.4547641336817352E-4</v>
      </c>
      <c r="H31" s="30">
        <f t="shared" si="5"/>
        <v>0</v>
      </c>
    </row>
    <row r="32" spans="2:8" x14ac:dyDescent="0.25">
      <c r="B32" s="26">
        <v>29</v>
      </c>
      <c r="C32" s="52">
        <f t="shared" si="0"/>
        <v>0.61840577400138186</v>
      </c>
      <c r="D32" s="52">
        <f t="shared" si="1"/>
        <v>0.50578743449988961</v>
      </c>
      <c r="E32" s="48">
        <f t="shared" si="2"/>
        <v>-0.11261833950149225</v>
      </c>
      <c r="F32" s="48">
        <f t="shared" si="3"/>
        <v>-1.4629551441043242E-4</v>
      </c>
      <c r="G32" s="48">
        <f t="shared" si="4"/>
        <v>0.61825947848697138</v>
      </c>
      <c r="H32" s="30">
        <f t="shared" si="5"/>
        <v>0</v>
      </c>
    </row>
    <row r="33" spans="2:8" x14ac:dyDescent="0.25">
      <c r="B33" s="26">
        <v>30</v>
      </c>
      <c r="C33" s="52">
        <f t="shared" si="0"/>
        <v>2.6821760992090326E-3</v>
      </c>
      <c r="D33" s="52">
        <f t="shared" si="1"/>
        <v>5.3985110846739104E-4</v>
      </c>
      <c r="E33" s="48">
        <f t="shared" si="2"/>
        <v>-2.1423249907416416E-3</v>
      </c>
      <c r="F33" s="48">
        <f t="shared" si="3"/>
        <v>-2.782961797716086E-6</v>
      </c>
      <c r="G33" s="48">
        <f t="shared" si="4"/>
        <v>2.6793931374113167E-3</v>
      </c>
      <c r="H33" s="30">
        <f t="shared" si="5"/>
        <v>0</v>
      </c>
    </row>
    <row r="34" spans="2:8" x14ac:dyDescent="0.25">
      <c r="B34" s="26">
        <v>31</v>
      </c>
      <c r="C34" s="52">
        <f t="shared" si="0"/>
        <v>0.43268010175951643</v>
      </c>
      <c r="D34" s="52">
        <f t="shared" si="1"/>
        <v>0.37617527613812002</v>
      </c>
      <c r="E34" s="48">
        <f t="shared" si="2"/>
        <v>-5.6504825621396415E-2</v>
      </c>
      <c r="F34" s="48">
        <f t="shared" si="3"/>
        <v>-7.3401921636790225E-5</v>
      </c>
      <c r="G34" s="48">
        <f t="shared" si="4"/>
        <v>0.43260669983787964</v>
      </c>
      <c r="H34" s="30">
        <f t="shared" si="5"/>
        <v>0</v>
      </c>
    </row>
    <row r="35" spans="2:8" x14ac:dyDescent="0.25">
      <c r="B35" s="26">
        <v>32</v>
      </c>
      <c r="C35" s="52">
        <f t="shared" si="0"/>
        <v>4.587462629749072E-3</v>
      </c>
      <c r="D35" s="52">
        <f t="shared" si="1"/>
        <v>1.2699646308248702E-3</v>
      </c>
      <c r="E35" s="48">
        <f t="shared" si="2"/>
        <v>-3.317497998924202E-3</v>
      </c>
      <c r="F35" s="48">
        <f t="shared" si="3"/>
        <v>-4.3095563161075145E-6</v>
      </c>
      <c r="G35" s="48">
        <f t="shared" si="4"/>
        <v>4.5831530734329641E-3</v>
      </c>
      <c r="H35" s="30">
        <f t="shared" si="5"/>
        <v>0</v>
      </c>
    </row>
    <row r="36" spans="2:8" x14ac:dyDescent="0.25">
      <c r="B36" s="26">
        <v>33</v>
      </c>
      <c r="C36" s="52">
        <f t="shared" si="0"/>
        <v>8.4151409301761251E-2</v>
      </c>
      <c r="D36" s="52">
        <f t="shared" si="1"/>
        <v>6.7503639523961864E-2</v>
      </c>
      <c r="E36" s="48">
        <f t="shared" si="2"/>
        <v>-1.6647769777799387E-2</v>
      </c>
      <c r="F36" s="48">
        <f t="shared" si="3"/>
        <v>-2.1626087315888192E-5</v>
      </c>
      <c r="G36" s="48">
        <f t="shared" si="4"/>
        <v>8.4129783214445364E-2</v>
      </c>
      <c r="H36" s="30">
        <f t="shared" si="5"/>
        <v>0</v>
      </c>
    </row>
    <row r="37" spans="2:8" x14ac:dyDescent="0.25">
      <c r="B37" s="26">
        <v>34</v>
      </c>
      <c r="C37" s="52">
        <f t="shared" si="0"/>
        <v>5.8256465500538285E-2</v>
      </c>
      <c r="D37" s="52">
        <f t="shared" si="1"/>
        <v>4.4253058727944716E-2</v>
      </c>
      <c r="E37" s="48">
        <f t="shared" si="2"/>
        <v>-1.4003406772593568E-2</v>
      </c>
      <c r="F37" s="48">
        <f t="shared" si="3"/>
        <v>-1.8190959006885057E-5</v>
      </c>
      <c r="G37" s="48">
        <f t="shared" si="4"/>
        <v>5.8238274541531403E-2</v>
      </c>
      <c r="H37" s="30">
        <f t="shared" si="5"/>
        <v>0</v>
      </c>
    </row>
    <row r="38" spans="2:8" x14ac:dyDescent="0.25">
      <c r="B38" s="26">
        <v>35</v>
      </c>
      <c r="C38" s="52">
        <f t="shared" si="0"/>
        <v>0.39029335703643686</v>
      </c>
      <c r="D38" s="52">
        <f t="shared" si="1"/>
        <v>0.36343466624775511</v>
      </c>
      <c r="E38" s="48">
        <f t="shared" si="2"/>
        <v>-2.6858690788681749E-2</v>
      </c>
      <c r="F38" s="48">
        <f t="shared" si="3"/>
        <v>-3.4890462803075464E-5</v>
      </c>
      <c r="G38" s="48">
        <f t="shared" si="4"/>
        <v>0.39025846657363378</v>
      </c>
      <c r="H38" s="30">
        <f t="shared" si="5"/>
        <v>0</v>
      </c>
    </row>
    <row r="39" spans="2:8" x14ac:dyDescent="0.25">
      <c r="B39" s="26">
        <v>36</v>
      </c>
      <c r="C39" s="52">
        <f t="shared" si="0"/>
        <v>5.8256465500538285E-2</v>
      </c>
      <c r="D39" s="52">
        <f t="shared" si="1"/>
        <v>4.4253058727944716E-2</v>
      </c>
      <c r="E39" s="48">
        <f t="shared" si="2"/>
        <v>-1.4003406772593568E-2</v>
      </c>
      <c r="F39" s="48">
        <f t="shared" si="3"/>
        <v>-1.8190959006885057E-5</v>
      </c>
      <c r="G39" s="48">
        <f t="shared" si="4"/>
        <v>5.8238274541531403E-2</v>
      </c>
      <c r="H39" s="30">
        <f t="shared" si="5"/>
        <v>0</v>
      </c>
    </row>
    <row r="40" spans="2:8" x14ac:dyDescent="0.25">
      <c r="B40" s="26">
        <v>37</v>
      </c>
      <c r="C40" s="52">
        <f t="shared" si="0"/>
        <v>0.26038899134139826</v>
      </c>
      <c r="D40" s="52">
        <f t="shared" si="1"/>
        <v>0.23293659142238254</v>
      </c>
      <c r="E40" s="48">
        <f t="shared" si="2"/>
        <v>-2.7452399919015713E-2</v>
      </c>
      <c r="F40" s="48">
        <f t="shared" si="3"/>
        <v>-3.566171358706724E-5</v>
      </c>
      <c r="G40" s="48">
        <f t="shared" si="4"/>
        <v>0.26035332962781121</v>
      </c>
      <c r="H40" s="30">
        <f t="shared" si="5"/>
        <v>0</v>
      </c>
    </row>
    <row r="41" spans="2:8" x14ac:dyDescent="0.25">
      <c r="B41" s="26">
        <v>38</v>
      </c>
      <c r="C41" s="52">
        <f t="shared" si="0"/>
        <v>5.8256465500538285E-2</v>
      </c>
      <c r="D41" s="52">
        <f t="shared" si="1"/>
        <v>4.4253058727944716E-2</v>
      </c>
      <c r="E41" s="48">
        <f t="shared" si="2"/>
        <v>-1.4003406772593568E-2</v>
      </c>
      <c r="F41" s="48">
        <f t="shared" si="3"/>
        <v>-1.8190959006885057E-5</v>
      </c>
      <c r="G41" s="48">
        <f t="shared" si="4"/>
        <v>5.8238274541531403E-2</v>
      </c>
      <c r="H41" s="30">
        <f t="shared" si="5"/>
        <v>0</v>
      </c>
    </row>
    <row r="42" spans="2:8" x14ac:dyDescent="0.25">
      <c r="B42" s="26">
        <v>39</v>
      </c>
      <c r="C42" s="52">
        <f t="shared" si="0"/>
        <v>7.1958024598108364E-2</v>
      </c>
      <c r="D42" s="52">
        <f t="shared" si="1"/>
        <v>5.1366620792552581E-2</v>
      </c>
      <c r="E42" s="48">
        <f t="shared" si="2"/>
        <v>-2.0591403805555783E-2</v>
      </c>
      <c r="F42" s="48">
        <f t="shared" si="3"/>
        <v>-2.674901819278558E-5</v>
      </c>
      <c r="G42" s="48">
        <f t="shared" si="4"/>
        <v>7.1931275579915577E-2</v>
      </c>
      <c r="H42" s="30">
        <f t="shared" si="5"/>
        <v>0</v>
      </c>
    </row>
    <row r="43" spans="2:8" x14ac:dyDescent="0.25">
      <c r="B43" s="26">
        <v>40</v>
      </c>
      <c r="C43" s="52">
        <f t="shared" si="0"/>
        <v>5.8256465500538285E-2</v>
      </c>
      <c r="D43" s="52">
        <f t="shared" si="1"/>
        <v>4.4253058727944716E-2</v>
      </c>
      <c r="E43" s="48">
        <f t="shared" si="2"/>
        <v>-1.4003406772593568E-2</v>
      </c>
      <c r="F43" s="48">
        <f t="shared" si="3"/>
        <v>-1.8190959006885057E-5</v>
      </c>
      <c r="G43" s="48">
        <f t="shared" si="4"/>
        <v>5.8238274541531403E-2</v>
      </c>
      <c r="H43" s="30">
        <f t="shared" si="5"/>
        <v>0</v>
      </c>
    </row>
    <row r="44" spans="2:8" x14ac:dyDescent="0.25">
      <c r="B44" s="26">
        <v>41</v>
      </c>
      <c r="C44" s="52">
        <f t="shared" si="0"/>
        <v>0.30529874652047795</v>
      </c>
      <c r="D44" s="52">
        <f t="shared" si="1"/>
        <v>0.272856325769609</v>
      </c>
      <c r="E44" s="48">
        <f t="shared" si="2"/>
        <v>-3.244242075086895E-2</v>
      </c>
      <c r="F44" s="48">
        <f t="shared" si="3"/>
        <v>-4.2143940795763301E-5</v>
      </c>
      <c r="G44" s="48">
        <f t="shared" si="4"/>
        <v>0.30525660257968218</v>
      </c>
      <c r="H44" s="30">
        <f t="shared" si="5"/>
        <v>0</v>
      </c>
    </row>
    <row r="45" spans="2:8" x14ac:dyDescent="0.25">
      <c r="B45" s="26">
        <v>42</v>
      </c>
      <c r="C45" s="52">
        <f t="shared" si="0"/>
        <v>5.8256465500538285E-2</v>
      </c>
      <c r="D45" s="52">
        <f t="shared" si="1"/>
        <v>4.4253058727944716E-2</v>
      </c>
      <c r="E45" s="48">
        <f t="shared" si="2"/>
        <v>-1.4003406772593568E-2</v>
      </c>
      <c r="F45" s="48">
        <f t="shared" si="3"/>
        <v>-1.8190959006885057E-5</v>
      </c>
      <c r="G45" s="48">
        <f t="shared" si="4"/>
        <v>5.8238274541531403E-2</v>
      </c>
      <c r="H45" s="30">
        <f t="shared" si="5"/>
        <v>0</v>
      </c>
    </row>
    <row r="46" spans="2:8" x14ac:dyDescent="0.25">
      <c r="B46" s="26">
        <v>43</v>
      </c>
      <c r="C46" s="52">
        <f t="shared" si="0"/>
        <v>0.1877023014843526</v>
      </c>
      <c r="D46" s="52">
        <f t="shared" si="1"/>
        <v>0.18024721970812474</v>
      </c>
      <c r="E46" s="48">
        <f t="shared" si="2"/>
        <v>-7.4550817762278621E-3</v>
      </c>
      <c r="F46" s="48">
        <f t="shared" si="3"/>
        <v>-9.6844353082531796E-6</v>
      </c>
      <c r="G46" s="48">
        <f t="shared" si="4"/>
        <v>0.18769261704904436</v>
      </c>
      <c r="H46" s="30">
        <f t="shared" si="5"/>
        <v>0</v>
      </c>
    </row>
    <row r="47" spans="2:8" x14ac:dyDescent="0.25">
      <c r="B47" s="26">
        <v>44</v>
      </c>
      <c r="C47" s="52">
        <f t="shared" si="0"/>
        <v>5.8256465500538285E-2</v>
      </c>
      <c r="D47" s="52">
        <f t="shared" si="1"/>
        <v>4.4253058727944716E-2</v>
      </c>
      <c r="E47" s="48">
        <f t="shared" si="2"/>
        <v>-1.4003406772593568E-2</v>
      </c>
      <c r="F47" s="48">
        <f t="shared" si="3"/>
        <v>-1.8190959006885057E-5</v>
      </c>
      <c r="G47" s="48">
        <f t="shared" si="4"/>
        <v>5.8238274541531403E-2</v>
      </c>
      <c r="H47" s="30">
        <f t="shared" si="5"/>
        <v>0</v>
      </c>
    </row>
    <row r="48" spans="2:8" x14ac:dyDescent="0.25">
      <c r="B48" s="26">
        <v>45</v>
      </c>
      <c r="C48" s="52">
        <f t="shared" si="0"/>
        <v>5.8261619608528936E-2</v>
      </c>
      <c r="D48" s="52">
        <f t="shared" si="1"/>
        <v>4.4254803859095013E-2</v>
      </c>
      <c r="E48" s="48">
        <f t="shared" si="2"/>
        <v>-1.4006815749433923E-2</v>
      </c>
      <c r="F48" s="48">
        <f t="shared" si="3"/>
        <v>-1.8195387397702043E-5</v>
      </c>
      <c r="G48" s="48">
        <f t="shared" si="4"/>
        <v>5.8243424221131233E-2</v>
      </c>
      <c r="H48" s="30">
        <f t="shared" si="5"/>
        <v>0</v>
      </c>
    </row>
    <row r="49" spans="1:21" x14ac:dyDescent="0.25">
      <c r="B49" s="26">
        <v>46</v>
      </c>
      <c r="C49" s="52">
        <f t="shared" si="0"/>
        <v>5.8256465500538285E-2</v>
      </c>
      <c r="D49" s="52">
        <f t="shared" si="1"/>
        <v>4.4253058727944716E-2</v>
      </c>
      <c r="E49" s="48">
        <f t="shared" si="2"/>
        <v>-1.4003406772593568E-2</v>
      </c>
      <c r="F49" s="48">
        <f t="shared" si="3"/>
        <v>-1.8190959006885057E-5</v>
      </c>
      <c r="G49" s="48">
        <f t="shared" si="4"/>
        <v>5.8238274541531403E-2</v>
      </c>
      <c r="H49" s="30">
        <f t="shared" si="5"/>
        <v>0</v>
      </c>
    </row>
    <row r="50" spans="1:21" x14ac:dyDescent="0.25">
      <c r="B50" s="26">
        <v>47</v>
      </c>
      <c r="C50" s="52">
        <f t="shared" si="0"/>
        <v>0.2367936036530196</v>
      </c>
      <c r="D50" s="52">
        <f t="shared" si="1"/>
        <v>0.19038468562778788</v>
      </c>
      <c r="E50" s="48">
        <f t="shared" si="2"/>
        <v>-4.6408918025231727E-2</v>
      </c>
      <c r="F50" s="48">
        <f t="shared" si="3"/>
        <v>-6.0286952957985159E-5</v>
      </c>
      <c r="G50" s="48">
        <f t="shared" si="4"/>
        <v>0.23673331670006162</v>
      </c>
      <c r="H50" s="30">
        <f t="shared" si="5"/>
        <v>0</v>
      </c>
    </row>
    <row r="51" spans="1:21" x14ac:dyDescent="0.25">
      <c r="B51" s="26">
        <v>48</v>
      </c>
      <c r="C51" s="52">
        <f t="shared" si="0"/>
        <v>5.8256465500538285E-2</v>
      </c>
      <c r="D51" s="52">
        <f t="shared" si="1"/>
        <v>4.4253058727944716E-2</v>
      </c>
      <c r="E51" s="48">
        <f t="shared" si="2"/>
        <v>-1.4003406772593568E-2</v>
      </c>
      <c r="F51" s="48">
        <f t="shared" si="3"/>
        <v>-1.8190959006885057E-5</v>
      </c>
      <c r="G51" s="48">
        <f t="shared" si="4"/>
        <v>5.8238274541531403E-2</v>
      </c>
      <c r="H51" s="30">
        <f t="shared" si="5"/>
        <v>0</v>
      </c>
    </row>
    <row r="52" spans="1:21" x14ac:dyDescent="0.25">
      <c r="B52" s="26">
        <v>49</v>
      </c>
      <c r="C52" s="52">
        <f t="shared" si="0"/>
        <v>0.14316623416465049</v>
      </c>
      <c r="D52" s="52">
        <f t="shared" si="1"/>
        <v>0.11820986355275069</v>
      </c>
      <c r="E52" s="48">
        <f t="shared" si="2"/>
        <v>-2.49563706118998E-2</v>
      </c>
      <c r="F52" s="48">
        <f t="shared" si="3"/>
        <v>-3.241927640423878E-5</v>
      </c>
      <c r="G52" s="48">
        <f t="shared" si="4"/>
        <v>0.14313381488824625</v>
      </c>
      <c r="H52" s="30">
        <f t="shared" si="5"/>
        <v>0</v>
      </c>
    </row>
    <row r="53" spans="1:21" x14ac:dyDescent="0.25">
      <c r="B53" s="26">
        <v>50</v>
      </c>
      <c r="C53" s="52">
        <f t="shared" si="0"/>
        <v>5.8256465500538285E-2</v>
      </c>
      <c r="D53" s="52">
        <f t="shared" si="1"/>
        <v>4.4253058727944716E-2</v>
      </c>
      <c r="E53" s="48">
        <f t="shared" si="2"/>
        <v>-1.4003406772593568E-2</v>
      </c>
      <c r="F53" s="48">
        <f t="shared" si="3"/>
        <v>-1.8190959006885057E-5</v>
      </c>
      <c r="G53" s="48">
        <f t="shared" si="4"/>
        <v>5.8238274541531403E-2</v>
      </c>
      <c r="H53" s="30">
        <f t="shared" si="5"/>
        <v>0</v>
      </c>
    </row>
    <row r="54" spans="1:21" x14ac:dyDescent="0.25">
      <c r="C54" s="41"/>
      <c r="D54" s="41"/>
      <c r="E54" s="32"/>
      <c r="F54" s="32"/>
    </row>
    <row r="55" spans="1:21" x14ac:dyDescent="0.25">
      <c r="F55" s="26" t="s">
        <v>85</v>
      </c>
      <c r="G55" s="29">
        <f>IF(H4=0,0,100*H55/H4)</f>
        <v>0</v>
      </c>
      <c r="H55" s="29">
        <f>SQRT(SUMSQ(H5:H53))</f>
        <v>0</v>
      </c>
      <c r="I55" s="26" t="s">
        <v>52</v>
      </c>
    </row>
    <row r="56" spans="1:21" x14ac:dyDescent="0.25">
      <c r="F56" s="26" t="s">
        <v>86</v>
      </c>
      <c r="G56" s="29">
        <f>SQRT(SUMSQ(G4:G53))</f>
        <v>103.94110160818423</v>
      </c>
      <c r="H56" s="29">
        <f>SQRT(SUMSQ(H4:H53))</f>
        <v>0</v>
      </c>
      <c r="I56" s="26" t="s">
        <v>54</v>
      </c>
    </row>
    <row r="57" spans="1:21" x14ac:dyDescent="0.25">
      <c r="G57" s="26" t="s">
        <v>87</v>
      </c>
      <c r="H57" s="26" t="s">
        <v>13</v>
      </c>
    </row>
    <row r="59" spans="1:21" x14ac:dyDescent="0.25">
      <c r="A59" s="25" t="s">
        <v>63</v>
      </c>
      <c r="C59" s="36"/>
      <c r="D59" s="36"/>
      <c r="E59" s="36"/>
      <c r="F59" s="36"/>
      <c r="G59" s="36"/>
      <c r="H59" s="36"/>
      <c r="I59" s="36"/>
      <c r="J59" s="36"/>
      <c r="K59" s="36"/>
      <c r="L59" s="36"/>
      <c r="M59" s="36"/>
      <c r="N59" s="36"/>
      <c r="O59" s="36"/>
      <c r="P59" s="36"/>
      <c r="Q59" s="36"/>
      <c r="R59" s="36"/>
      <c r="S59" s="36"/>
    </row>
    <row r="60" spans="1:21" ht="14.4" x14ac:dyDescent="0.3">
      <c r="C60" s="1" t="s">
        <v>478</v>
      </c>
      <c r="D60" s="7">
        <f>100/D62</f>
        <v>1000</v>
      </c>
      <c r="E60" s="7">
        <f t="shared" ref="E60:U60" si="6">100/E62</f>
        <v>200</v>
      </c>
      <c r="F60" s="7">
        <f t="shared" si="6"/>
        <v>100</v>
      </c>
      <c r="G60" s="7">
        <f t="shared" si="6"/>
        <v>50</v>
      </c>
      <c r="H60" s="7">
        <f t="shared" si="6"/>
        <v>33.333333333333336</v>
      </c>
      <c r="I60" s="7">
        <f t="shared" si="6"/>
        <v>25</v>
      </c>
      <c r="J60" s="7">
        <f t="shared" si="6"/>
        <v>20</v>
      </c>
      <c r="K60" s="7">
        <f t="shared" si="6"/>
        <v>16.666666666666668</v>
      </c>
      <c r="L60" s="7">
        <f t="shared" si="6"/>
        <v>14.285714285714286</v>
      </c>
      <c r="M60" s="7">
        <f t="shared" si="6"/>
        <v>12.5</v>
      </c>
      <c r="N60" s="7">
        <f t="shared" si="6"/>
        <v>10</v>
      </c>
      <c r="O60" s="7">
        <f t="shared" si="6"/>
        <v>8.3333333333333339</v>
      </c>
      <c r="P60" s="7">
        <f t="shared" si="6"/>
        <v>7.1428571428571432</v>
      </c>
      <c r="Q60" s="7">
        <f t="shared" si="6"/>
        <v>5.5555555555555554</v>
      </c>
      <c r="R60" s="7">
        <f t="shared" si="6"/>
        <v>4.7619047619047619</v>
      </c>
      <c r="S60" s="7">
        <f t="shared" si="6"/>
        <v>1</v>
      </c>
      <c r="T60" s="7">
        <f t="shared" si="6"/>
        <v>0.1</v>
      </c>
      <c r="U60" s="7">
        <f t="shared" si="6"/>
        <v>0.01</v>
      </c>
    </row>
    <row r="61" spans="1:21" ht="14.4" x14ac:dyDescent="0.3">
      <c r="C61" s="1" t="s">
        <v>64</v>
      </c>
      <c r="D61">
        <v>0</v>
      </c>
      <c r="E61">
        <v>1</v>
      </c>
      <c r="F61">
        <v>2</v>
      </c>
      <c r="G61">
        <v>3</v>
      </c>
      <c r="H61">
        <v>4</v>
      </c>
      <c r="I61">
        <v>5</v>
      </c>
      <c r="J61">
        <v>6</v>
      </c>
      <c r="K61">
        <v>7</v>
      </c>
      <c r="L61">
        <v>8</v>
      </c>
      <c r="M61">
        <v>9</v>
      </c>
      <c r="N61">
        <v>10</v>
      </c>
      <c r="O61">
        <v>11</v>
      </c>
      <c r="P61">
        <v>12</v>
      </c>
      <c r="Q61">
        <v>13</v>
      </c>
      <c r="R61">
        <v>14</v>
      </c>
      <c r="S61">
        <v>15</v>
      </c>
      <c r="T61">
        <v>16</v>
      </c>
      <c r="U61">
        <v>17</v>
      </c>
    </row>
    <row r="62" spans="1:21" ht="14.4" x14ac:dyDescent="0.3">
      <c r="A62" s="26" t="s">
        <v>65</v>
      </c>
      <c r="B62" s="54"/>
      <c r="C62" s="216" t="s">
        <v>1</v>
      </c>
      <c r="D62" s="296">
        <v>0.1</v>
      </c>
      <c r="E62" s="296">
        <v>0.5</v>
      </c>
      <c r="F62" s="296">
        <v>1</v>
      </c>
      <c r="G62" s="296">
        <v>2</v>
      </c>
      <c r="H62" s="296">
        <v>3</v>
      </c>
      <c r="I62" s="296">
        <v>4</v>
      </c>
      <c r="J62" s="296">
        <v>5</v>
      </c>
      <c r="K62" s="296">
        <v>6</v>
      </c>
      <c r="L62" s="296">
        <v>7</v>
      </c>
      <c r="M62" s="296">
        <v>8</v>
      </c>
      <c r="N62" s="296">
        <v>10</v>
      </c>
      <c r="O62" s="296">
        <v>12</v>
      </c>
      <c r="P62" s="296">
        <v>14</v>
      </c>
      <c r="Q62" s="296">
        <v>18</v>
      </c>
      <c r="R62" s="296">
        <v>21</v>
      </c>
      <c r="S62" s="296">
        <v>100</v>
      </c>
      <c r="T62" s="296">
        <v>1000</v>
      </c>
      <c r="U62" s="296">
        <v>10000</v>
      </c>
    </row>
    <row r="63" spans="1:21" ht="14.4" x14ac:dyDescent="0.3">
      <c r="A63" s="31"/>
      <c r="C63" s="1" t="s">
        <v>64</v>
      </c>
      <c r="D63">
        <v>0</v>
      </c>
      <c r="E63">
        <v>1</v>
      </c>
      <c r="F63">
        <v>2</v>
      </c>
      <c r="G63">
        <v>3</v>
      </c>
      <c r="H63">
        <v>4</v>
      </c>
      <c r="I63">
        <v>5</v>
      </c>
      <c r="J63">
        <v>6</v>
      </c>
      <c r="K63">
        <v>7</v>
      </c>
      <c r="L63">
        <v>8</v>
      </c>
      <c r="M63">
        <v>9</v>
      </c>
      <c r="N63">
        <v>10</v>
      </c>
      <c r="O63">
        <v>11</v>
      </c>
      <c r="P63">
        <v>12</v>
      </c>
      <c r="Q63">
        <v>13</v>
      </c>
      <c r="R63">
        <v>14</v>
      </c>
      <c r="S63">
        <v>15</v>
      </c>
      <c r="T63">
        <v>16</v>
      </c>
      <c r="U63">
        <v>17</v>
      </c>
    </row>
    <row r="64" spans="1:21" ht="14.4" x14ac:dyDescent="0.3">
      <c r="A64" s="43">
        <v>2</v>
      </c>
      <c r="B64" s="43"/>
      <c r="C64" s="1"/>
      <c r="D64" s="298">
        <v>1.7291324964220301E-2</v>
      </c>
      <c r="E64" s="298">
        <v>6.6998018440489568E-2</v>
      </c>
      <c r="F64" s="298">
        <v>0.12416560747379798</v>
      </c>
      <c r="G64" s="298">
        <v>0.19164678959143519</v>
      </c>
      <c r="H64" s="298">
        <v>3.2432337711389723E-2</v>
      </c>
      <c r="I64" s="298">
        <v>2.6794917304969575E-2</v>
      </c>
      <c r="J64" s="298">
        <v>1.0787351058726545E-2</v>
      </c>
      <c r="K64" s="298">
        <v>1.5488830696511377E-2</v>
      </c>
      <c r="L64" s="298">
        <v>1.1120918013740941E-2</v>
      </c>
      <c r="M64" s="298">
        <v>1.2571907703050382E-2</v>
      </c>
      <c r="N64" s="298">
        <v>2.636287592484499E-2</v>
      </c>
      <c r="O64" s="298">
        <v>3.9068771982494086E-3</v>
      </c>
      <c r="P64" s="298">
        <v>1.783236037225493E-2</v>
      </c>
      <c r="Q64" s="298">
        <v>6.5715038062707058E-3</v>
      </c>
      <c r="R64" s="298">
        <v>5.7146036546192576E-3</v>
      </c>
      <c r="S64" s="298">
        <v>5.7146036546192576E-3</v>
      </c>
      <c r="T64" s="298">
        <v>5.7146036546192576E-3</v>
      </c>
      <c r="U64" s="298">
        <v>5.7146036546192576E-3</v>
      </c>
    </row>
    <row r="65" spans="1:21" ht="14.4" x14ac:dyDescent="0.3">
      <c r="A65" s="43">
        <v>3</v>
      </c>
      <c r="B65" s="43"/>
      <c r="C65" s="1"/>
      <c r="D65" s="298">
        <v>0.55385104430828935</v>
      </c>
      <c r="E65" s="298">
        <v>8.5473774716319078</v>
      </c>
      <c r="F65" s="298">
        <v>4.3857615521600959</v>
      </c>
      <c r="G65" s="298">
        <v>4.8916763402676038</v>
      </c>
      <c r="H65" s="298">
        <v>5.107248510230364</v>
      </c>
      <c r="I65" s="298">
        <v>6.2072885442798249</v>
      </c>
      <c r="J65" s="298">
        <v>7.7608557639223745</v>
      </c>
      <c r="K65" s="298">
        <v>5.1365577880102951</v>
      </c>
      <c r="L65" s="298">
        <v>3.7115343236794409</v>
      </c>
      <c r="M65" s="298">
        <v>2.8652501742303245</v>
      </c>
      <c r="N65" s="298">
        <v>1.976424393859703</v>
      </c>
      <c r="O65" s="298">
        <v>1.512989131711088</v>
      </c>
      <c r="P65" s="298">
        <v>1.2479844012146544</v>
      </c>
      <c r="Q65" s="298">
        <v>0.90186138282906037</v>
      </c>
      <c r="R65" s="298">
        <v>0.8611207071065603</v>
      </c>
      <c r="S65" s="298">
        <v>0.8611207071065603</v>
      </c>
      <c r="T65" s="298">
        <v>0.8611207071065603</v>
      </c>
      <c r="U65" s="298">
        <v>0.8611207071065603</v>
      </c>
    </row>
    <row r="66" spans="1:21" ht="14.4" x14ac:dyDescent="0.3">
      <c r="A66" s="43">
        <v>4</v>
      </c>
      <c r="B66" s="43"/>
      <c r="C66" s="1"/>
      <c r="D66" s="298">
        <v>0.13520250276733159</v>
      </c>
      <c r="E66" s="298">
        <v>2.8695360144102396E-2</v>
      </c>
      <c r="F66" s="298">
        <v>0.11237654569855723</v>
      </c>
      <c r="G66" s="298">
        <v>0.1270693443534559</v>
      </c>
      <c r="H66" s="298">
        <v>2.9673650735424224E-2</v>
      </c>
      <c r="I66" s="298">
        <v>2.1212221057019379E-2</v>
      </c>
      <c r="J66" s="298">
        <v>1.8916758051922035E-2</v>
      </c>
      <c r="K66" s="298">
        <v>2.4591818946340816E-2</v>
      </c>
      <c r="L66" s="298">
        <v>2.2309871990685983E-2</v>
      </c>
      <c r="M66" s="298">
        <v>1.4672119245636975E-2</v>
      </c>
      <c r="N66" s="298">
        <v>3.4977738354405041E-3</v>
      </c>
      <c r="O66" s="298">
        <v>3.318391374383355E-3</v>
      </c>
      <c r="P66" s="298">
        <v>1.8380050856337499E-2</v>
      </c>
      <c r="Q66" s="298">
        <v>5.7240454854559945E-3</v>
      </c>
      <c r="R66" s="298">
        <v>1.5847873572736098E-3</v>
      </c>
      <c r="S66" s="298">
        <v>1.5847873572736098E-3</v>
      </c>
      <c r="T66" s="298">
        <v>1.5847873572736098E-3</v>
      </c>
      <c r="U66" s="298">
        <v>1.5847873572736098E-3</v>
      </c>
    </row>
    <row r="67" spans="1:21" ht="14.4" x14ac:dyDescent="0.3">
      <c r="A67" s="43">
        <v>5</v>
      </c>
      <c r="B67" s="43"/>
      <c r="C67" s="1"/>
      <c r="D67" s="298">
        <v>93.368748010282204</v>
      </c>
      <c r="E67" s="298">
        <v>82.87682728374898</v>
      </c>
      <c r="F67" s="298">
        <v>73.247221838386295</v>
      </c>
      <c r="G67" s="298">
        <v>60.831459052554194</v>
      </c>
      <c r="H67" s="298">
        <v>49.382828970020235</v>
      </c>
      <c r="I67" s="298">
        <v>41.72752692184784</v>
      </c>
      <c r="J67" s="298">
        <v>37.27946499417164</v>
      </c>
      <c r="K67" s="298">
        <v>34.240442443062605</v>
      </c>
      <c r="L67" s="298">
        <v>31.801834469310585</v>
      </c>
      <c r="M67" s="298">
        <v>29.833911528390878</v>
      </c>
      <c r="N67" s="298">
        <v>26.829447444032468</v>
      </c>
      <c r="O67" s="298">
        <v>24.524377947577921</v>
      </c>
      <c r="P67" s="298">
        <v>22.666145948519805</v>
      </c>
      <c r="Q67" s="298">
        <v>19.683481307529799</v>
      </c>
      <c r="R67" s="298">
        <v>19.55420880107971</v>
      </c>
      <c r="S67" s="298">
        <v>19.55420880107971</v>
      </c>
      <c r="T67" s="298">
        <v>19.55420880107971</v>
      </c>
      <c r="U67" s="298">
        <v>19.55420880107971</v>
      </c>
    </row>
    <row r="68" spans="1:21" ht="14.4" x14ac:dyDescent="0.3">
      <c r="A68" s="43">
        <v>6</v>
      </c>
      <c r="B68" s="43"/>
      <c r="C68" s="1"/>
      <c r="D68" s="298">
        <v>6.8818496078623531E-2</v>
      </c>
      <c r="E68" s="298">
        <v>5.2936191485114158E-2</v>
      </c>
      <c r="F68" s="298">
        <v>7.0102641631974985E-3</v>
      </c>
      <c r="G68" s="298">
        <v>1.1862351899176933E-2</v>
      </c>
      <c r="H68" s="298">
        <v>1.9222702695116914E-3</v>
      </c>
      <c r="I68" s="298">
        <v>1.1087146410300954E-2</v>
      </c>
      <c r="J68" s="298">
        <v>6.7285132893848583E-3</v>
      </c>
      <c r="K68" s="298">
        <v>4.5194792975590103E-3</v>
      </c>
      <c r="L68" s="298">
        <v>6.0169639857389576E-3</v>
      </c>
      <c r="M68" s="298">
        <v>7.3330327729595772E-3</v>
      </c>
      <c r="N68" s="298">
        <v>4.9368015428742544E-3</v>
      </c>
      <c r="O68" s="298">
        <v>2.1005572354824645E-3</v>
      </c>
      <c r="P68" s="298">
        <v>9.2816222816082712E-3</v>
      </c>
      <c r="Q68" s="298">
        <v>3.8021989595571734E-3</v>
      </c>
      <c r="R68" s="298">
        <v>2.6949365909897677E-3</v>
      </c>
      <c r="S68" s="298">
        <v>2.6949365909897677E-3</v>
      </c>
      <c r="T68" s="298">
        <v>2.6949365909897677E-3</v>
      </c>
      <c r="U68" s="298">
        <v>2.6949365909897677E-3</v>
      </c>
    </row>
    <row r="69" spans="1:21" ht="14.4" x14ac:dyDescent="0.3">
      <c r="A69" s="43">
        <v>7</v>
      </c>
      <c r="B69" s="43"/>
      <c r="C69" s="1"/>
      <c r="D69" s="298">
        <v>85.792929223620419</v>
      </c>
      <c r="E69" s="298">
        <v>65.67536665068971</v>
      </c>
      <c r="F69" s="298">
        <v>52.471101352240538</v>
      </c>
      <c r="G69" s="298">
        <v>34.473926081721721</v>
      </c>
      <c r="H69" s="298">
        <v>20.70483242585701</v>
      </c>
      <c r="I69" s="298">
        <v>13.8859457017344</v>
      </c>
      <c r="J69" s="298">
        <v>10.407370469722119</v>
      </c>
      <c r="K69" s="298">
        <v>8.4234250472584673</v>
      </c>
      <c r="L69" s="298">
        <v>7.3447486655802345</v>
      </c>
      <c r="M69" s="298">
        <v>6.8022663683683335</v>
      </c>
      <c r="N69" s="298">
        <v>6.5166708279323533</v>
      </c>
      <c r="O69" s="298">
        <v>6.6273860488121423</v>
      </c>
      <c r="P69" s="298">
        <v>6.8022403042729351</v>
      </c>
      <c r="Q69" s="298">
        <v>6.987229811341364</v>
      </c>
      <c r="R69" s="298">
        <v>7.326010337515557</v>
      </c>
      <c r="S69" s="298">
        <v>7.326010337515557</v>
      </c>
      <c r="T69" s="298">
        <v>7.326010337515557</v>
      </c>
      <c r="U69" s="298">
        <v>7.326010337515557</v>
      </c>
    </row>
    <row r="70" spans="1:21" ht="14.4" x14ac:dyDescent="0.3">
      <c r="A70" s="43">
        <v>8</v>
      </c>
      <c r="B70" s="43"/>
      <c r="C70" s="1"/>
      <c r="D70" s="298">
        <v>0.15207091572872264</v>
      </c>
      <c r="E70" s="298">
        <v>5.2891824469196221E-2</v>
      </c>
      <c r="F70" s="298">
        <v>5.7040082585237739E-2</v>
      </c>
      <c r="G70" s="298">
        <v>1.9116049168177565E-2</v>
      </c>
      <c r="H70" s="298">
        <v>2.3564987660073828E-2</v>
      </c>
      <c r="I70" s="298">
        <v>8.5355102461392024E-3</v>
      </c>
      <c r="J70" s="298">
        <v>1.9603945043945102E-2</v>
      </c>
      <c r="K70" s="298">
        <v>1.2636657164619786E-2</v>
      </c>
      <c r="L70" s="298">
        <v>1.0643351525778579E-2</v>
      </c>
      <c r="M70" s="298">
        <v>4.3473848598230228E-3</v>
      </c>
      <c r="N70" s="298">
        <v>2.5415807506222721E-3</v>
      </c>
      <c r="O70" s="298">
        <v>1.2216655309818655E-3</v>
      </c>
      <c r="P70" s="298">
        <v>6.4595461603830819E-3</v>
      </c>
      <c r="Q70" s="298">
        <v>1.3983813924981661E-3</v>
      </c>
      <c r="R70" s="298">
        <v>3.4056178014729927E-3</v>
      </c>
      <c r="S70" s="298">
        <v>3.4056178014729927E-3</v>
      </c>
      <c r="T70" s="298">
        <v>3.4056178014729927E-3</v>
      </c>
      <c r="U70" s="298">
        <v>3.4056178014729927E-3</v>
      </c>
    </row>
    <row r="71" spans="1:21" ht="14.4" x14ac:dyDescent="0.3">
      <c r="A71" s="43">
        <v>9</v>
      </c>
      <c r="B71" s="43"/>
      <c r="C71" s="1"/>
      <c r="D71" s="298">
        <v>1.154353524821659</v>
      </c>
      <c r="E71" s="298">
        <v>3.5914593530271834</v>
      </c>
      <c r="F71" s="298">
        <v>0.66156600737101889</v>
      </c>
      <c r="G71" s="298">
        <v>0.60368769264829547</v>
      </c>
      <c r="H71" s="298">
        <v>0.42447764331950832</v>
      </c>
      <c r="I71" s="298">
        <v>1.0648962156533353</v>
      </c>
      <c r="J71" s="298">
        <v>1.5532650518305111</v>
      </c>
      <c r="K71" s="298">
        <v>0.98716445545758624</v>
      </c>
      <c r="L71" s="298">
        <v>0.68104076968532634</v>
      </c>
      <c r="M71" s="298">
        <v>0.50610374236669098</v>
      </c>
      <c r="N71" s="298">
        <v>0.31868142208094846</v>
      </c>
      <c r="O71" s="298">
        <v>0.22626624756676589</v>
      </c>
      <c r="P71" s="298">
        <v>0.1789795622711387</v>
      </c>
      <c r="Q71" s="298">
        <v>0.13966052871548112</v>
      </c>
      <c r="R71" s="298">
        <v>0.13247290047204982</v>
      </c>
      <c r="S71" s="298">
        <v>0.13247290047204982</v>
      </c>
      <c r="T71" s="298">
        <v>0.13247290047204982</v>
      </c>
      <c r="U71" s="298">
        <v>0.13247290047204982</v>
      </c>
    </row>
    <row r="72" spans="1:21" ht="14.4" x14ac:dyDescent="0.3">
      <c r="A72" s="43">
        <v>10</v>
      </c>
      <c r="B72" s="43"/>
      <c r="C72" s="1"/>
      <c r="D72" s="298">
        <v>0.2294007148283545</v>
      </c>
      <c r="E72" s="298">
        <v>4.67408371331944E-2</v>
      </c>
      <c r="F72" s="298">
        <v>3.9171017790739594E-2</v>
      </c>
      <c r="G72" s="298">
        <v>3.1896110289054799E-2</v>
      </c>
      <c r="H72" s="298">
        <v>9.7072760067846587E-3</v>
      </c>
      <c r="I72" s="298">
        <v>1.3760275349404955E-2</v>
      </c>
      <c r="J72" s="298">
        <v>1.2351163020258928E-2</v>
      </c>
      <c r="K72" s="298">
        <v>7.8770677291336265E-3</v>
      </c>
      <c r="L72" s="298">
        <v>6.6241460677741474E-3</v>
      </c>
      <c r="M72" s="298">
        <v>9.5446111698385379E-4</v>
      </c>
      <c r="N72" s="298">
        <v>5.9000829249238182E-3</v>
      </c>
      <c r="O72" s="298">
        <v>2.8410236973985879E-3</v>
      </c>
      <c r="P72" s="298">
        <v>3.0933034144878684E-3</v>
      </c>
      <c r="Q72" s="298">
        <v>1.7024651539385351E-3</v>
      </c>
      <c r="R72" s="298">
        <v>3.8405411483555876E-3</v>
      </c>
      <c r="S72" s="298">
        <v>3.8405411483555876E-3</v>
      </c>
      <c r="T72" s="298">
        <v>3.8405411483555876E-3</v>
      </c>
      <c r="U72" s="298">
        <v>3.8405411483555876E-3</v>
      </c>
    </row>
    <row r="73" spans="1:21" ht="14.4" x14ac:dyDescent="0.3">
      <c r="A73" s="43">
        <v>11</v>
      </c>
      <c r="B73" s="43"/>
      <c r="C73" s="1"/>
      <c r="D73" s="298">
        <v>69.048567707776243</v>
      </c>
      <c r="E73" s="298">
        <v>33.685348584817774</v>
      </c>
      <c r="F73" s="298">
        <v>15.583787301158949</v>
      </c>
      <c r="G73" s="298">
        <v>6.5636008603412694</v>
      </c>
      <c r="H73" s="298">
        <v>7.6797975872700235</v>
      </c>
      <c r="I73" s="298">
        <v>7.4570840283088478</v>
      </c>
      <c r="J73" s="298">
        <v>6.9055670232180777</v>
      </c>
      <c r="K73" s="298">
        <v>6.5341193000171698</v>
      </c>
      <c r="L73" s="298">
        <v>6.0786150094839924</v>
      </c>
      <c r="M73" s="298">
        <v>5.6151234987755405</v>
      </c>
      <c r="N73" s="298">
        <v>4.7731220793376856</v>
      </c>
      <c r="O73" s="298">
        <v>4.037747204995374</v>
      </c>
      <c r="P73" s="298">
        <v>3.4442053406397228</v>
      </c>
      <c r="Q73" s="298">
        <v>2.6571079286057731</v>
      </c>
      <c r="R73" s="298">
        <v>2.6319335627413896</v>
      </c>
      <c r="S73" s="298">
        <v>2.6319335627413896</v>
      </c>
      <c r="T73" s="298">
        <v>2.6319335627413896</v>
      </c>
      <c r="U73" s="298">
        <v>2.6319335627413896</v>
      </c>
    </row>
    <row r="74" spans="1:21" ht="14.4" x14ac:dyDescent="0.3">
      <c r="A74" s="43">
        <v>12</v>
      </c>
      <c r="B74" s="43"/>
      <c r="C74" s="1"/>
      <c r="D74" s="298">
        <v>4.3926126021925166E-2</v>
      </c>
      <c r="E74" s="298">
        <v>1.2877494467594758E-2</v>
      </c>
      <c r="F74" s="298">
        <v>4.5954157397374695E-3</v>
      </c>
      <c r="G74" s="298">
        <v>5.329225146697902E-3</v>
      </c>
      <c r="H74" s="298">
        <v>1.7455825337836627E-3</v>
      </c>
      <c r="I74" s="298">
        <v>6.1922252654432195E-3</v>
      </c>
      <c r="J74" s="298">
        <v>4.6340307760456886E-3</v>
      </c>
      <c r="K74" s="298">
        <v>1.2658928420938899E-3</v>
      </c>
      <c r="L74" s="298">
        <v>7.2345470714335765E-4</v>
      </c>
      <c r="M74" s="298">
        <v>2.8137542278655172E-3</v>
      </c>
      <c r="N74" s="298">
        <v>3.3387817150023614E-3</v>
      </c>
      <c r="O74" s="298">
        <v>7.0415228820549169E-4</v>
      </c>
      <c r="P74" s="298">
        <v>3.2866827675993235E-3</v>
      </c>
      <c r="Q74" s="298">
        <v>2.129932191298423E-3</v>
      </c>
      <c r="R74" s="298">
        <v>3.0726078205235829E-3</v>
      </c>
      <c r="S74" s="298">
        <v>3.0726078205235829E-3</v>
      </c>
      <c r="T74" s="298">
        <v>3.0726078205235829E-3</v>
      </c>
      <c r="U74" s="298">
        <v>3.0726078205235829E-3</v>
      </c>
    </row>
    <row r="75" spans="1:21" ht="14.4" x14ac:dyDescent="0.3">
      <c r="A75" s="43">
        <v>13</v>
      </c>
      <c r="B75" s="43"/>
      <c r="C75" s="1"/>
      <c r="D75" s="298">
        <v>57.626071680473594</v>
      </c>
      <c r="E75" s="298">
        <v>19.008833408591933</v>
      </c>
      <c r="F75" s="298">
        <v>6.0811074483745449</v>
      </c>
      <c r="G75" s="298">
        <v>6.4203508662030933</v>
      </c>
      <c r="H75" s="298">
        <v>4.053836065316168</v>
      </c>
      <c r="I75" s="298">
        <v>3.136813925533426</v>
      </c>
      <c r="J75" s="298">
        <v>3.2687886565984781</v>
      </c>
      <c r="K75" s="298">
        <v>3.1927019928471165</v>
      </c>
      <c r="L75" s="298">
        <v>3.1590323561450395</v>
      </c>
      <c r="M75" s="298">
        <v>3.1114405010378423</v>
      </c>
      <c r="N75" s="298">
        <v>2.9413990501469054</v>
      </c>
      <c r="O75" s="298">
        <v>2.6891381919916104</v>
      </c>
      <c r="P75" s="298">
        <v>2.4129113867682368</v>
      </c>
      <c r="Q75" s="298">
        <v>1.9019132140355048</v>
      </c>
      <c r="R75" s="298">
        <v>1.9731316672454773</v>
      </c>
      <c r="S75" s="298">
        <v>1.9731316672454773</v>
      </c>
      <c r="T75" s="298">
        <v>1.9731316672454773</v>
      </c>
      <c r="U75" s="298">
        <v>1.9731316672454773</v>
      </c>
    </row>
    <row r="76" spans="1:21" ht="14.4" x14ac:dyDescent="0.3">
      <c r="A76" s="43">
        <v>14</v>
      </c>
      <c r="B76" s="43"/>
      <c r="C76" s="1"/>
      <c r="D76" s="298">
        <v>0.20927403927484672</v>
      </c>
      <c r="E76" s="298">
        <v>5.5602611265487843E-2</v>
      </c>
      <c r="F76" s="298">
        <v>4.0150680983375708E-2</v>
      </c>
      <c r="G76" s="298">
        <v>1.1364022598705132E-2</v>
      </c>
      <c r="H76" s="298">
        <v>1.5808693433503308E-2</v>
      </c>
      <c r="I76" s="298">
        <v>1.1300571663228018E-2</v>
      </c>
      <c r="J76" s="298">
        <v>1.3986444352451872E-2</v>
      </c>
      <c r="K76" s="298">
        <v>1.3726550136797936E-2</v>
      </c>
      <c r="L76" s="298">
        <v>1.2922710779955417E-2</v>
      </c>
      <c r="M76" s="298">
        <v>6.7573395777536377E-3</v>
      </c>
      <c r="N76" s="298">
        <v>6.0541163970223889E-3</v>
      </c>
      <c r="O76" s="298">
        <v>8.8566143641728831E-4</v>
      </c>
      <c r="P76" s="298">
        <v>4.5856434142929501E-3</v>
      </c>
      <c r="Q76" s="298">
        <v>2.3769049086772155E-3</v>
      </c>
      <c r="R76" s="298">
        <v>2.1687917940923906E-3</v>
      </c>
      <c r="S76" s="298">
        <v>2.1687917940923906E-3</v>
      </c>
      <c r="T76" s="298">
        <v>2.1687917940923906E-3</v>
      </c>
      <c r="U76" s="298">
        <v>2.1687917940923906E-3</v>
      </c>
    </row>
    <row r="77" spans="1:21" ht="14.4" x14ac:dyDescent="0.3">
      <c r="A77" s="43">
        <v>15</v>
      </c>
      <c r="B77" s="43"/>
      <c r="C77" s="1"/>
      <c r="D77" s="298">
        <v>1.136851568371505</v>
      </c>
      <c r="E77" s="298">
        <v>0.23095610968918576</v>
      </c>
      <c r="F77" s="298">
        <v>0.45935010470309795</v>
      </c>
      <c r="G77" s="298">
        <v>0.33979479464125767</v>
      </c>
      <c r="H77" s="298">
        <v>0.19877874639876153</v>
      </c>
      <c r="I77" s="298">
        <v>0.6117370588990978</v>
      </c>
      <c r="J77" s="298">
        <v>0.7739736036483279</v>
      </c>
      <c r="K77" s="298">
        <v>0.47689818111624066</v>
      </c>
      <c r="L77" s="298">
        <v>0.32445444976062632</v>
      </c>
      <c r="M77" s="298">
        <v>0.24590737646040681</v>
      </c>
      <c r="N77" s="298">
        <v>0.17863761703347875</v>
      </c>
      <c r="O77" s="298">
        <v>0.15238590146764369</v>
      </c>
      <c r="P77" s="298">
        <v>0.13879587874692803</v>
      </c>
      <c r="Q77" s="298">
        <v>0.10849930149243135</v>
      </c>
      <c r="R77" s="298">
        <v>0.10438708261063094</v>
      </c>
      <c r="S77" s="298">
        <v>0.10438708261063094</v>
      </c>
      <c r="T77" s="298">
        <v>0.10438708261063094</v>
      </c>
      <c r="U77" s="298">
        <v>0.10438708261063094</v>
      </c>
    </row>
    <row r="78" spans="1:21" ht="14.4" x14ac:dyDescent="0.3">
      <c r="A78" s="43">
        <v>16</v>
      </c>
      <c r="B78" s="43"/>
      <c r="C78" s="1"/>
      <c r="D78" s="298">
        <v>0.21260480542905863</v>
      </c>
      <c r="E78" s="298">
        <v>5.5251059810874539E-2</v>
      </c>
      <c r="F78" s="298">
        <v>2.9549060045343564E-2</v>
      </c>
      <c r="G78" s="298">
        <v>1.9149260351853523E-2</v>
      </c>
      <c r="H78" s="298">
        <v>8.8894084206710914E-3</v>
      </c>
      <c r="I78" s="298">
        <v>9.8004503653837914E-3</v>
      </c>
      <c r="J78" s="298">
        <v>9.3355107602731344E-3</v>
      </c>
      <c r="K78" s="298">
        <v>1.1176506405604431E-2</v>
      </c>
      <c r="L78" s="298">
        <v>1.0797812516310075E-2</v>
      </c>
      <c r="M78" s="298">
        <v>4.9258459762198314E-3</v>
      </c>
      <c r="N78" s="298">
        <v>1.5412362332936629E-3</v>
      </c>
      <c r="O78" s="298">
        <v>1.7707278526791228E-3</v>
      </c>
      <c r="P78" s="298">
        <v>3.8905467511792919E-3</v>
      </c>
      <c r="Q78" s="298">
        <v>3.1270051788819786E-3</v>
      </c>
      <c r="R78" s="298">
        <v>2.7546885466757905E-3</v>
      </c>
      <c r="S78" s="298">
        <v>2.7546885466757905E-3</v>
      </c>
      <c r="T78" s="298">
        <v>2.7546885466757905E-3</v>
      </c>
      <c r="U78" s="298">
        <v>2.7546885466757905E-3</v>
      </c>
    </row>
    <row r="79" spans="1:21" ht="14.4" x14ac:dyDescent="0.3">
      <c r="A79" s="43">
        <v>17</v>
      </c>
      <c r="B79" s="43"/>
      <c r="C79" s="1"/>
      <c r="D79" s="299">
        <v>38.305868434141544</v>
      </c>
      <c r="E79" s="298">
        <v>5.2999903687276673</v>
      </c>
      <c r="F79" s="298">
        <v>6.2578007441416821</v>
      </c>
      <c r="G79" s="299">
        <v>3.651615692351549</v>
      </c>
      <c r="H79" s="299">
        <v>3.9361368606820331</v>
      </c>
      <c r="I79" s="299">
        <v>3.5365888642625669</v>
      </c>
      <c r="J79" s="298">
        <v>2.7954962272937816</v>
      </c>
      <c r="K79" s="298">
        <v>2.4617473384512585</v>
      </c>
      <c r="L79" s="298">
        <v>2.1281057585635259</v>
      </c>
      <c r="M79" s="298">
        <v>1.850567348179557</v>
      </c>
      <c r="N79" s="299">
        <v>1.5324828885585096</v>
      </c>
      <c r="O79" s="298">
        <v>1.4251739565426205</v>
      </c>
      <c r="P79" s="298">
        <v>1.4117622874341469</v>
      </c>
      <c r="Q79" s="298">
        <v>1.3485789449567889</v>
      </c>
      <c r="R79" s="298">
        <v>1.3516864824509252</v>
      </c>
      <c r="S79" s="298">
        <v>1.3516864824509252</v>
      </c>
      <c r="T79" s="298">
        <v>1.3516864824509252</v>
      </c>
      <c r="U79" s="298">
        <v>1.3516864824509252</v>
      </c>
    </row>
    <row r="80" spans="1:21" ht="14.4" x14ac:dyDescent="0.3">
      <c r="A80" s="43">
        <v>18</v>
      </c>
      <c r="B80" s="43"/>
      <c r="C80" s="1"/>
      <c r="D80" s="298">
        <v>6.8073317161051342E-3</v>
      </c>
      <c r="E80" s="298">
        <v>4.4855023970696963E-3</v>
      </c>
      <c r="F80" s="298">
        <v>3.7080452251308581E-3</v>
      </c>
      <c r="G80" s="298">
        <v>4.1891794258732719E-3</v>
      </c>
      <c r="H80" s="298">
        <v>2.5800652861531514E-3</v>
      </c>
      <c r="I80" s="298">
        <v>5.1323452366736095E-3</v>
      </c>
      <c r="J80" s="298">
        <v>3.2624660891922676E-3</v>
      </c>
      <c r="K80" s="298">
        <v>9.7248963017647263E-4</v>
      </c>
      <c r="L80" s="298">
        <v>5.3824967182370125E-4</v>
      </c>
      <c r="M80" s="298">
        <v>3.4207800467921257E-3</v>
      </c>
      <c r="N80" s="298">
        <v>2.3022193218101682E-3</v>
      </c>
      <c r="O80" s="298">
        <v>7.1766985210155283E-4</v>
      </c>
      <c r="P80" s="298">
        <v>1.6747979107749516E-3</v>
      </c>
      <c r="Q80" s="298">
        <v>1.0243399597807483E-3</v>
      </c>
      <c r="R80" s="298">
        <v>2.7645882744071495E-3</v>
      </c>
      <c r="S80" s="298">
        <v>2.7645882744071495E-3</v>
      </c>
      <c r="T80" s="298">
        <v>2.7645882744071495E-3</v>
      </c>
      <c r="U80" s="298">
        <v>2.7645882744071495E-3</v>
      </c>
    </row>
    <row r="81" spans="1:21" ht="14.4" x14ac:dyDescent="0.3">
      <c r="A81" s="43">
        <v>19</v>
      </c>
      <c r="B81" s="43"/>
      <c r="C81" s="1"/>
      <c r="D81" s="298">
        <v>28.12675018493254</v>
      </c>
      <c r="E81" s="298">
        <v>5.7694235730205383</v>
      </c>
      <c r="F81" s="298">
        <v>4.4923444139523241</v>
      </c>
      <c r="G81" s="298">
        <v>2.461818140179882</v>
      </c>
      <c r="H81" s="298">
        <v>1.5612033953483941</v>
      </c>
      <c r="I81" s="298">
        <v>1.435344927819425</v>
      </c>
      <c r="J81" s="298">
        <v>1.8152549557696753</v>
      </c>
      <c r="K81" s="298">
        <v>1.7533389509717254</v>
      </c>
      <c r="L81" s="298">
        <v>1.6441205577377018</v>
      </c>
      <c r="M81" s="298">
        <v>1.5015094716885002</v>
      </c>
      <c r="N81" s="298">
        <v>1.1978760529333901</v>
      </c>
      <c r="O81" s="298">
        <v>0.96493434637770215</v>
      </c>
      <c r="P81" s="298">
        <v>0.86230538911097832</v>
      </c>
      <c r="Q81" s="298">
        <v>0.87143134542122158</v>
      </c>
      <c r="R81" s="298">
        <v>0.89423887387252965</v>
      </c>
      <c r="S81" s="298">
        <v>0.89423887387252965</v>
      </c>
      <c r="T81" s="298">
        <v>0.89423887387252965</v>
      </c>
      <c r="U81" s="298">
        <v>0.89423887387252965</v>
      </c>
    </row>
    <row r="82" spans="1:21" ht="14.4" x14ac:dyDescent="0.3">
      <c r="A82" s="43">
        <v>20</v>
      </c>
      <c r="B82" s="43"/>
      <c r="C82" s="1"/>
      <c r="D82" s="298">
        <v>0.16228025606892954</v>
      </c>
      <c r="E82" s="298">
        <v>3.4304595434386999E-2</v>
      </c>
      <c r="F82" s="298">
        <v>3.603503131369204E-2</v>
      </c>
      <c r="G82" s="298">
        <v>1.3414457398225953E-2</v>
      </c>
      <c r="H82" s="298">
        <v>1.3820648138552563E-2</v>
      </c>
      <c r="I82" s="298">
        <v>1.2553645285502412E-2</v>
      </c>
      <c r="J82" s="298">
        <v>1.1519216055600136E-2</v>
      </c>
      <c r="K82" s="298">
        <v>1.2482583619361326E-2</v>
      </c>
      <c r="L82" s="298">
        <v>1.0659586926913772E-2</v>
      </c>
      <c r="M82" s="298">
        <v>3.9990621565117561E-3</v>
      </c>
      <c r="N82" s="298">
        <v>4.289924599988241E-3</v>
      </c>
      <c r="O82" s="298">
        <v>2.3631359410929234E-3</v>
      </c>
      <c r="P82" s="298">
        <v>2.0372139828744758E-3</v>
      </c>
      <c r="Q82" s="298">
        <v>2.6099379219788315E-3</v>
      </c>
      <c r="R82" s="298">
        <v>3.3164014470484933E-3</v>
      </c>
      <c r="S82" s="298">
        <v>3.3164014470484933E-3</v>
      </c>
      <c r="T82" s="298">
        <v>3.3164014470484933E-3</v>
      </c>
      <c r="U82" s="298">
        <v>3.3164014470484933E-3</v>
      </c>
    </row>
    <row r="83" spans="1:21" ht="14.4" x14ac:dyDescent="0.3">
      <c r="A83" s="43">
        <v>21</v>
      </c>
      <c r="B83" s="43"/>
      <c r="C83" s="1"/>
      <c r="D83" s="298">
        <v>0.62329316321319206</v>
      </c>
      <c r="E83" s="298">
        <v>0.38652912360520963</v>
      </c>
      <c r="F83" s="298">
        <v>0.28848587809075404</v>
      </c>
      <c r="G83" s="298">
        <v>0.2327624797312611</v>
      </c>
      <c r="H83" s="298">
        <v>0.12695962714013889</v>
      </c>
      <c r="I83" s="298">
        <v>0.43156831387325317</v>
      </c>
      <c r="J83" s="298">
        <v>0.51232861946084751</v>
      </c>
      <c r="K83" s="298">
        <v>0.33639919482821595</v>
      </c>
      <c r="L83" s="298">
        <v>0.24976274080004948</v>
      </c>
      <c r="M83" s="298">
        <v>0.20143664947276263</v>
      </c>
      <c r="N83" s="298">
        <v>0.14886071320433725</v>
      </c>
      <c r="O83" s="298">
        <v>0.11057082122039739</v>
      </c>
      <c r="P83" s="298">
        <v>8.69095877563483E-2</v>
      </c>
      <c r="Q83" s="298">
        <v>6.469840401868561E-2</v>
      </c>
      <c r="R83" s="298">
        <v>6.207334554446476E-2</v>
      </c>
      <c r="S83" s="298">
        <v>6.207334554446476E-2</v>
      </c>
      <c r="T83" s="298">
        <v>6.207334554446476E-2</v>
      </c>
      <c r="U83" s="298">
        <v>6.207334554446476E-2</v>
      </c>
    </row>
    <row r="84" spans="1:21" ht="14.4" x14ac:dyDescent="0.3">
      <c r="A84" s="43">
        <v>22</v>
      </c>
      <c r="B84" s="43"/>
      <c r="C84" s="1"/>
      <c r="D84" s="298">
        <v>0.10196628651957353</v>
      </c>
      <c r="E84" s="298">
        <v>3.8702088424270906E-2</v>
      </c>
      <c r="F84" s="298">
        <v>3.2940823141321553E-2</v>
      </c>
      <c r="G84" s="298">
        <v>1.4397088226243407E-2</v>
      </c>
      <c r="H84" s="298">
        <v>8.0433131135157904E-3</v>
      </c>
      <c r="I84" s="298">
        <v>9.1411482785596215E-3</v>
      </c>
      <c r="J84" s="298">
        <v>1.3328297513609087E-2</v>
      </c>
      <c r="K84" s="298">
        <v>9.9334339431091864E-3</v>
      </c>
      <c r="L84" s="298">
        <v>8.7776949548354632E-3</v>
      </c>
      <c r="M84" s="298">
        <v>2.8422690440152187E-3</v>
      </c>
      <c r="N84" s="298">
        <v>1.7693174251628295E-3</v>
      </c>
      <c r="O84" s="298">
        <v>2.3683965026528521E-3</v>
      </c>
      <c r="P84" s="298">
        <v>2.2687748359132434E-3</v>
      </c>
      <c r="Q84" s="298">
        <v>3.2956893394252857E-3</v>
      </c>
      <c r="R84" s="298">
        <v>3.1845733198832878E-3</v>
      </c>
      <c r="S84" s="298">
        <v>3.1845733198832878E-3</v>
      </c>
      <c r="T84" s="298">
        <v>3.1845733198832878E-3</v>
      </c>
      <c r="U84" s="298">
        <v>3.1845733198832878E-3</v>
      </c>
    </row>
    <row r="85" spans="1:21" ht="14.4" x14ac:dyDescent="0.3">
      <c r="A85" s="43">
        <v>23</v>
      </c>
      <c r="B85" s="43"/>
      <c r="C85" s="1"/>
      <c r="D85" s="298">
        <v>14.111336248333169</v>
      </c>
      <c r="E85" s="298">
        <v>4.5502762773923147</v>
      </c>
      <c r="F85" s="298">
        <v>2.8173069900787024</v>
      </c>
      <c r="G85" s="298">
        <v>2.0670952688936821</v>
      </c>
      <c r="H85" s="298">
        <v>2.2928087910650583</v>
      </c>
      <c r="I85" s="298">
        <v>1.9472020944612196</v>
      </c>
      <c r="J85" s="298">
        <v>1.3645089433593613</v>
      </c>
      <c r="K85" s="298">
        <v>1.1709027163413299</v>
      </c>
      <c r="L85" s="298">
        <v>1.0449622436221531</v>
      </c>
      <c r="M85" s="298">
        <v>0.98668776275695924</v>
      </c>
      <c r="N85" s="298">
        <v>0.97151910927620677</v>
      </c>
      <c r="O85" s="298">
        <v>0.91499109629030073</v>
      </c>
      <c r="P85" s="298">
        <v>0.81941237005377587</v>
      </c>
      <c r="Q85" s="298">
        <v>0.64151011524075341</v>
      </c>
      <c r="R85" s="298">
        <v>0.64347399672352978</v>
      </c>
      <c r="S85" s="298">
        <v>0.64347399672352978</v>
      </c>
      <c r="T85" s="298">
        <v>0.64347399672352978</v>
      </c>
      <c r="U85" s="298">
        <v>0.64347399672352978</v>
      </c>
    </row>
    <row r="86" spans="1:21" ht="14.4" x14ac:dyDescent="0.3">
      <c r="A86" s="43">
        <v>24</v>
      </c>
      <c r="B86" s="43"/>
      <c r="C86" s="1"/>
      <c r="D86" s="298">
        <v>3.6824454901743818E-2</v>
      </c>
      <c r="E86" s="298">
        <v>9.8382681602157043E-3</v>
      </c>
      <c r="F86" s="298">
        <v>2.4869442257516557E-3</v>
      </c>
      <c r="G86" s="298">
        <v>3.7823320015961076E-3</v>
      </c>
      <c r="H86" s="298">
        <v>3.0035667733548503E-3</v>
      </c>
      <c r="I86" s="298">
        <v>5.3235417328994826E-3</v>
      </c>
      <c r="J86" s="298">
        <v>5.8116700278296428E-3</v>
      </c>
      <c r="K86" s="298">
        <v>2.9855222275943743E-3</v>
      </c>
      <c r="L86" s="298">
        <v>2.3272957918215429E-3</v>
      </c>
      <c r="M86" s="298">
        <v>3.1075268606800422E-3</v>
      </c>
      <c r="N86" s="298">
        <v>1.6642059470906843E-3</v>
      </c>
      <c r="O86" s="298">
        <v>5.0465814106315395E-4</v>
      </c>
      <c r="P86" s="298">
        <v>2.4652728971896356E-3</v>
      </c>
      <c r="Q86" s="298">
        <v>5.6815989694872823E-4</v>
      </c>
      <c r="R86" s="298">
        <v>2.910084521893625E-3</v>
      </c>
      <c r="S86" s="298">
        <v>2.910084521893625E-3</v>
      </c>
      <c r="T86" s="298">
        <v>2.910084521893625E-3</v>
      </c>
      <c r="U86" s="298">
        <v>2.910084521893625E-3</v>
      </c>
    </row>
    <row r="87" spans="1:21" ht="14.4" x14ac:dyDescent="0.3">
      <c r="A87" s="43">
        <v>25</v>
      </c>
      <c r="B87" s="43"/>
      <c r="C87" s="1"/>
      <c r="D87" s="298">
        <v>9.1460847189836905</v>
      </c>
      <c r="E87" s="298">
        <v>3.3287755929835949</v>
      </c>
      <c r="F87" s="298">
        <v>2.4769082641614584</v>
      </c>
      <c r="G87" s="298">
        <v>1.4065816239828657</v>
      </c>
      <c r="H87" s="298">
        <v>0.9812541545579192</v>
      </c>
      <c r="I87" s="298">
        <v>0.87516515937476913</v>
      </c>
      <c r="J87" s="298">
        <v>1.0203047520164361</v>
      </c>
      <c r="K87" s="298">
        <v>0.89181945133108653</v>
      </c>
      <c r="L87" s="298">
        <v>0.77335390981045959</v>
      </c>
      <c r="M87" s="298">
        <v>0.680943962179267</v>
      </c>
      <c r="N87" s="298">
        <v>0.60410783726699213</v>
      </c>
      <c r="O87" s="298">
        <v>0.59625159344747769</v>
      </c>
      <c r="P87" s="298">
        <v>0.57911197721694829</v>
      </c>
      <c r="Q87" s="298">
        <v>0.47588131924725879</v>
      </c>
      <c r="R87" s="298">
        <v>0.48332856078705327</v>
      </c>
      <c r="S87" s="298">
        <v>0.48332856078705327</v>
      </c>
      <c r="T87" s="298">
        <v>0.48332856078705327</v>
      </c>
      <c r="U87" s="298">
        <v>0.48332856078705327</v>
      </c>
    </row>
    <row r="88" spans="1:21" ht="14.4" x14ac:dyDescent="0.3">
      <c r="A88" s="43">
        <v>26</v>
      </c>
      <c r="B88" s="43"/>
      <c r="C88" s="1"/>
      <c r="D88" s="298">
        <v>5.0821504219815294E-2</v>
      </c>
      <c r="E88" s="298">
        <v>5.5062549483802257E-2</v>
      </c>
      <c r="F88" s="298">
        <v>2.6569838221547654E-2</v>
      </c>
      <c r="G88" s="298">
        <v>1.7180710354120391E-2</v>
      </c>
      <c r="H88" s="298">
        <v>1.4413765296386657E-2</v>
      </c>
      <c r="I88" s="298">
        <v>1.340051166752103E-2</v>
      </c>
      <c r="J88" s="298">
        <v>1.2261667576280695E-2</v>
      </c>
      <c r="K88" s="298">
        <v>1.1494261330574136E-2</v>
      </c>
      <c r="L88" s="298">
        <v>1.1502164549246671E-2</v>
      </c>
      <c r="M88" s="298">
        <v>6.3586835670058186E-3</v>
      </c>
      <c r="N88" s="298">
        <v>5.7283366829020497E-3</v>
      </c>
      <c r="O88" s="298">
        <v>1.4156391535011382E-3</v>
      </c>
      <c r="P88" s="298">
        <v>2.35923526977449E-3</v>
      </c>
      <c r="Q88" s="298">
        <v>3.048115692564884E-3</v>
      </c>
      <c r="R88" s="298">
        <v>2.505817916151253E-3</v>
      </c>
      <c r="S88" s="298">
        <v>2.505817916151253E-3</v>
      </c>
      <c r="T88" s="298">
        <v>2.505817916151253E-3</v>
      </c>
      <c r="U88" s="298">
        <v>2.505817916151253E-3</v>
      </c>
    </row>
    <row r="89" spans="1:21" ht="14.4" x14ac:dyDescent="0.3">
      <c r="A89" s="43">
        <v>27</v>
      </c>
      <c r="B89" s="43"/>
      <c r="C89" s="1"/>
      <c r="D89" s="298">
        <v>0.21238680360962095</v>
      </c>
      <c r="E89" s="298">
        <v>0.25707405179893289</v>
      </c>
      <c r="F89" s="298">
        <v>0.16073741316951387</v>
      </c>
      <c r="G89" s="298">
        <v>0.17380962651022741</v>
      </c>
      <c r="H89" s="298">
        <v>9.1193806224074303E-2</v>
      </c>
      <c r="I89" s="298">
        <v>0.33088372878460953</v>
      </c>
      <c r="J89" s="298">
        <v>0.40809218499146371</v>
      </c>
      <c r="K89" s="298">
        <v>0.28326195110267732</v>
      </c>
      <c r="L89" s="298">
        <v>0.20563582476045428</v>
      </c>
      <c r="M89" s="298">
        <v>0.15760505021576746</v>
      </c>
      <c r="N89" s="298">
        <v>9.9377043514666238E-2</v>
      </c>
      <c r="O89" s="298">
        <v>7.5391622206023953E-2</v>
      </c>
      <c r="P89" s="298">
        <v>6.8011485955306775E-2</v>
      </c>
      <c r="Q89" s="298">
        <v>5.56664765461901E-2</v>
      </c>
      <c r="R89" s="298">
        <v>5.3354821022066533E-2</v>
      </c>
      <c r="S89" s="298">
        <v>5.3354821022066533E-2</v>
      </c>
      <c r="T89" s="298">
        <v>5.3354821022066533E-2</v>
      </c>
      <c r="U89" s="298">
        <v>5.3354821022066533E-2</v>
      </c>
    </row>
    <row r="90" spans="1:21" ht="14.4" x14ac:dyDescent="0.3">
      <c r="A90" s="43">
        <v>28</v>
      </c>
      <c r="B90" s="43"/>
      <c r="C90" s="1"/>
      <c r="D90" s="298">
        <v>1.9392625777396737E-2</v>
      </c>
      <c r="E90" s="298">
        <v>4.7102518518670457E-2</v>
      </c>
      <c r="F90" s="298">
        <v>2.8971418661601897E-2</v>
      </c>
      <c r="G90" s="298">
        <v>1.1872541264805246E-2</v>
      </c>
      <c r="H90" s="298">
        <v>6.9611130983163278E-3</v>
      </c>
      <c r="I90" s="298">
        <v>8.5362681900183323E-3</v>
      </c>
      <c r="J90" s="298">
        <v>1.2556658041302614E-2</v>
      </c>
      <c r="K90" s="298">
        <v>1.0537656791068419E-2</v>
      </c>
      <c r="L90" s="298">
        <v>9.2930775732190107E-3</v>
      </c>
      <c r="M90" s="298">
        <v>3.3090135809581808E-3</v>
      </c>
      <c r="N90" s="298">
        <v>8.4429509332862738E-4</v>
      </c>
      <c r="O90" s="298">
        <v>1.7536756837702497E-3</v>
      </c>
      <c r="P90" s="298">
        <v>1.2486380283558422E-3</v>
      </c>
      <c r="Q90" s="298">
        <v>3.2293207653354824E-3</v>
      </c>
      <c r="R90" s="298">
        <v>2.7333925969108054E-3</v>
      </c>
      <c r="S90" s="298">
        <v>2.7333925969108054E-3</v>
      </c>
      <c r="T90" s="298">
        <v>2.7333925969108054E-3</v>
      </c>
      <c r="U90" s="298">
        <v>2.7333925969108054E-3</v>
      </c>
    </row>
    <row r="91" spans="1:21" ht="14.4" x14ac:dyDescent="0.3">
      <c r="A91" s="43">
        <v>29</v>
      </c>
      <c r="B91" s="43"/>
      <c r="C91" s="1"/>
      <c r="D91" s="298">
        <v>6.5146861253923207</v>
      </c>
      <c r="E91" s="298">
        <v>2.6788137999966111</v>
      </c>
      <c r="F91" s="298">
        <v>1.6106667515221753</v>
      </c>
      <c r="G91" s="298">
        <v>1.3975423047728013</v>
      </c>
      <c r="H91" s="298">
        <v>1.3999934630363924</v>
      </c>
      <c r="I91" s="298">
        <v>1.0907850218496227</v>
      </c>
      <c r="J91" s="298">
        <v>0.75870567381450926</v>
      </c>
      <c r="K91" s="298">
        <v>0.75678843679568575</v>
      </c>
      <c r="L91" s="298">
        <v>0.75575983296320848</v>
      </c>
      <c r="M91" s="298">
        <v>0.72478506133268517</v>
      </c>
      <c r="N91" s="298">
        <v>0.61840577400138186</v>
      </c>
      <c r="O91" s="298">
        <v>0.50578743449988961</v>
      </c>
      <c r="P91" s="298">
        <v>0.46727025134098182</v>
      </c>
      <c r="Q91" s="298">
        <v>0.45386743782930422</v>
      </c>
      <c r="R91" s="298">
        <v>0.4514293951690499</v>
      </c>
      <c r="S91" s="298">
        <v>0.4514293951690499</v>
      </c>
      <c r="T91" s="298">
        <v>0.4514293951690499</v>
      </c>
      <c r="U91" s="298">
        <v>0.4514293951690499</v>
      </c>
    </row>
    <row r="92" spans="1:21" ht="14.4" x14ac:dyDescent="0.3">
      <c r="A92" s="43">
        <v>30</v>
      </c>
      <c r="B92" s="43"/>
      <c r="C92" s="1"/>
      <c r="D92" s="298">
        <v>3.4884370898550648E-2</v>
      </c>
      <c r="E92" s="298">
        <v>4.1765772225850796E-3</v>
      </c>
      <c r="F92" s="298">
        <v>3.1945642193693534E-3</v>
      </c>
      <c r="G92" s="298">
        <v>3.60287707209932E-3</v>
      </c>
      <c r="H92" s="298">
        <v>3.2920300374340902E-3</v>
      </c>
      <c r="I92" s="298">
        <v>5.0314868423076246E-3</v>
      </c>
      <c r="J92" s="298">
        <v>4.6053075814346854E-3</v>
      </c>
      <c r="K92" s="298">
        <v>3.6991571943863818E-3</v>
      </c>
      <c r="L92" s="298">
        <v>1.9564019833816105E-3</v>
      </c>
      <c r="M92" s="298">
        <v>2.8717553777810353E-3</v>
      </c>
      <c r="N92" s="298">
        <v>2.6821760992090326E-3</v>
      </c>
      <c r="O92" s="298">
        <v>5.3985110846739104E-4</v>
      </c>
      <c r="P92" s="298">
        <v>8.6189772740157076E-4</v>
      </c>
      <c r="Q92" s="298">
        <v>7.0587971191137216E-4</v>
      </c>
      <c r="R92" s="298">
        <v>2.5967183728580682E-3</v>
      </c>
      <c r="S92" s="298">
        <v>2.5967183728580682E-3</v>
      </c>
      <c r="T92" s="298">
        <v>2.5967183728580682E-3</v>
      </c>
      <c r="U92" s="298">
        <v>2.5967183728580682E-3</v>
      </c>
    </row>
    <row r="93" spans="1:21" ht="14.4" x14ac:dyDescent="0.3">
      <c r="A93" s="43">
        <v>31</v>
      </c>
      <c r="B93" s="43"/>
      <c r="C93" s="1"/>
      <c r="D93" s="298">
        <v>6.3339107327432735</v>
      </c>
      <c r="E93" s="298">
        <v>2.4858685050570775</v>
      </c>
      <c r="F93" s="298">
        <v>1.4322222537619056</v>
      </c>
      <c r="G93" s="298">
        <v>0.82280279165842463</v>
      </c>
      <c r="H93" s="298">
        <v>0.68512353629472578</v>
      </c>
      <c r="I93" s="298">
        <v>0.58112005814292844</v>
      </c>
      <c r="J93" s="298">
        <v>0.56772740214173922</v>
      </c>
      <c r="K93" s="298">
        <v>0.46221863452787271</v>
      </c>
      <c r="L93" s="298">
        <v>0.42486576546865334</v>
      </c>
      <c r="M93" s="298">
        <v>0.43056874893088998</v>
      </c>
      <c r="N93" s="298">
        <v>0.43268010175951643</v>
      </c>
      <c r="O93" s="298">
        <v>0.37617527613812002</v>
      </c>
      <c r="P93" s="298">
        <v>0.31678577460681751</v>
      </c>
      <c r="Q93" s="298">
        <v>0.30877008317967913</v>
      </c>
      <c r="R93" s="298">
        <v>0.3120658886678041</v>
      </c>
      <c r="S93" s="298">
        <v>0.3120658886678041</v>
      </c>
      <c r="T93" s="298">
        <v>0.3120658886678041</v>
      </c>
      <c r="U93" s="298">
        <v>0.3120658886678041</v>
      </c>
    </row>
    <row r="94" spans="1:21" ht="14.4" x14ac:dyDescent="0.3">
      <c r="A94" s="43">
        <v>32</v>
      </c>
      <c r="B94" s="43"/>
      <c r="C94" s="1"/>
      <c r="D94" s="298">
        <v>4.6506205535545839E-2</v>
      </c>
      <c r="E94" s="298">
        <v>3.3260518350729629E-2</v>
      </c>
      <c r="F94" s="298">
        <v>2.9586195514357663E-2</v>
      </c>
      <c r="G94" s="298">
        <v>1.9535797704362808E-2</v>
      </c>
      <c r="H94" s="298">
        <v>1.4563606306652922E-2</v>
      </c>
      <c r="I94" s="298">
        <v>1.305927336868163E-2</v>
      </c>
      <c r="J94" s="298">
        <v>8.8970610246392086E-3</v>
      </c>
      <c r="K94" s="298">
        <v>1.1901375104307985E-2</v>
      </c>
      <c r="L94" s="298">
        <v>1.1921658515740853E-2</v>
      </c>
      <c r="M94" s="298">
        <v>5.9187663071225798E-3</v>
      </c>
      <c r="N94" s="298">
        <v>4.587462629749072E-3</v>
      </c>
      <c r="O94" s="298">
        <v>1.2699646308248702E-3</v>
      </c>
      <c r="P94" s="298">
        <v>2.2444292602197963E-3</v>
      </c>
      <c r="Q94" s="298">
        <v>2.8384966763810126E-3</v>
      </c>
      <c r="R94" s="298">
        <v>2.9287371239286731E-3</v>
      </c>
      <c r="S94" s="298">
        <v>2.9287371239286731E-3</v>
      </c>
      <c r="T94" s="298">
        <v>2.9287371239286731E-3</v>
      </c>
      <c r="U94" s="298">
        <v>2.9287371239286731E-3</v>
      </c>
    </row>
    <row r="95" spans="1:21" ht="14.4" x14ac:dyDescent="0.3">
      <c r="A95" s="43">
        <v>33</v>
      </c>
      <c r="B95" s="43"/>
      <c r="C95" s="1"/>
      <c r="D95" s="298">
        <v>0.30274927892914244</v>
      </c>
      <c r="E95" s="298">
        <v>1.7216657169820748E-2</v>
      </c>
      <c r="F95" s="298">
        <v>0.12233571605865014</v>
      </c>
      <c r="G95" s="298">
        <v>0.13605621192601108</v>
      </c>
      <c r="H95" s="298">
        <v>7.0763148414675126E-2</v>
      </c>
      <c r="I95" s="298">
        <v>0.26563628264177047</v>
      </c>
      <c r="J95" s="298">
        <v>0.34165566585023771</v>
      </c>
      <c r="K95" s="298">
        <v>0.22742267911109676</v>
      </c>
      <c r="L95" s="298">
        <v>0.15381673439332844</v>
      </c>
      <c r="M95" s="298">
        <v>0.11558930646976719</v>
      </c>
      <c r="N95" s="298">
        <v>8.4151409301761251E-2</v>
      </c>
      <c r="O95" s="298">
        <v>6.7503639523961864E-2</v>
      </c>
      <c r="P95" s="298">
        <v>5.6413371607669127E-2</v>
      </c>
      <c r="Q95" s="298">
        <v>4.1647697018963321E-2</v>
      </c>
      <c r="R95" s="298">
        <v>3.9799798597555773E-2</v>
      </c>
      <c r="S95" s="298">
        <v>3.9799798597555773E-2</v>
      </c>
      <c r="T95" s="298">
        <v>3.9799798597555773E-2</v>
      </c>
      <c r="U95" s="298">
        <v>3.9799798597555773E-2</v>
      </c>
    </row>
    <row r="96" spans="1:21" ht="14.4" x14ac:dyDescent="0.3">
      <c r="A96" s="43">
        <v>34</v>
      </c>
      <c r="B96" s="43"/>
      <c r="C96" s="1"/>
      <c r="D96" s="298">
        <v>0.15658261184107439</v>
      </c>
      <c r="E96" s="298">
        <v>6.9206297258360139E-2</v>
      </c>
      <c r="F96" s="298">
        <v>0.11719738000471913</v>
      </c>
      <c r="G96" s="298">
        <v>9.0950515996728487E-2</v>
      </c>
      <c r="H96" s="298">
        <v>5.6069430808107633E-2</v>
      </c>
      <c r="I96" s="298">
        <v>0.18457651004529252</v>
      </c>
      <c r="J96" s="298">
        <v>0.21861320828195963</v>
      </c>
      <c r="K96" s="298">
        <v>0.14805460867942424</v>
      </c>
      <c r="L96" s="298">
        <v>0.10865726471480185</v>
      </c>
      <c r="M96" s="298">
        <v>8.7921961526698345E-2</v>
      </c>
      <c r="N96" s="298">
        <v>5.8256465500538285E-2</v>
      </c>
      <c r="O96" s="298">
        <v>4.4253058727944716E-2</v>
      </c>
      <c r="P96" s="298">
        <v>3.9509788445304235E-2</v>
      </c>
      <c r="Q96" s="298">
        <v>2.9542651780987427E-2</v>
      </c>
      <c r="R96" s="298">
        <v>2.8071591122090556E-2</v>
      </c>
      <c r="S96" s="298">
        <v>2.8071591122090556E-2</v>
      </c>
      <c r="T96" s="298">
        <v>2.8071591122090556E-2</v>
      </c>
      <c r="U96" s="298">
        <v>2.8071591122090556E-2</v>
      </c>
    </row>
    <row r="97" spans="1:21" ht="14.4" x14ac:dyDescent="0.3">
      <c r="A97" s="43">
        <v>35</v>
      </c>
      <c r="B97" s="43"/>
      <c r="C97" s="1"/>
      <c r="D97" s="298">
        <v>5.9029852258662023</v>
      </c>
      <c r="E97" s="298">
        <v>1.4733260588243429</v>
      </c>
      <c r="F97" s="298">
        <v>1.2803616292235322</v>
      </c>
      <c r="G97" s="298">
        <v>1.0290257258239199</v>
      </c>
      <c r="H97" s="298">
        <v>0.95078684693100002</v>
      </c>
      <c r="I97" s="298">
        <v>0.68755518357204037</v>
      </c>
      <c r="J97" s="298">
        <v>0.51648077967213191</v>
      </c>
      <c r="K97" s="298">
        <v>0.5658478637815777</v>
      </c>
      <c r="L97" s="298">
        <v>0.55172205299175037</v>
      </c>
      <c r="M97" s="298">
        <v>0.48796466250698262</v>
      </c>
      <c r="N97" s="298">
        <v>0.39029335703643686</v>
      </c>
      <c r="O97" s="298">
        <v>0.36343466624775511</v>
      </c>
      <c r="P97" s="298">
        <v>0.35166631128246867</v>
      </c>
      <c r="Q97" s="298">
        <v>0.28545240285608292</v>
      </c>
      <c r="R97" s="298">
        <v>0.28281840150514814</v>
      </c>
      <c r="S97" s="298">
        <v>0.28281840150514814</v>
      </c>
      <c r="T97" s="298">
        <v>0.28281840150514814</v>
      </c>
      <c r="U97" s="298">
        <v>0.28281840150514814</v>
      </c>
    </row>
    <row r="98" spans="1:21" ht="14.4" x14ac:dyDescent="0.3">
      <c r="A98" s="43">
        <v>36</v>
      </c>
      <c r="B98" s="43"/>
      <c r="C98" s="1"/>
      <c r="D98" s="298">
        <v>0.15658261184107439</v>
      </c>
      <c r="E98" s="298">
        <v>6.9206297258360139E-2</v>
      </c>
      <c r="F98" s="298">
        <v>0.11719738000471913</v>
      </c>
      <c r="G98" s="298">
        <v>9.0950515996728487E-2</v>
      </c>
      <c r="H98" s="298">
        <v>5.6069430808107633E-2</v>
      </c>
      <c r="I98" s="298">
        <v>0.18457651004529252</v>
      </c>
      <c r="J98" s="298">
        <v>0.21861320828195963</v>
      </c>
      <c r="K98" s="298">
        <v>0.14805460867942424</v>
      </c>
      <c r="L98" s="298">
        <v>0.10865726471480185</v>
      </c>
      <c r="M98" s="298">
        <v>8.7921961526698345E-2</v>
      </c>
      <c r="N98" s="298">
        <v>5.8256465500538285E-2</v>
      </c>
      <c r="O98" s="298">
        <v>4.4253058727944716E-2</v>
      </c>
      <c r="P98" s="298">
        <v>3.9509788445304235E-2</v>
      </c>
      <c r="Q98" s="298">
        <v>2.9542651780987427E-2</v>
      </c>
      <c r="R98" s="298">
        <v>2.8071591122090556E-2</v>
      </c>
      <c r="S98" s="298">
        <v>2.8071591122090556E-2</v>
      </c>
      <c r="T98" s="298">
        <v>2.8071591122090556E-2</v>
      </c>
      <c r="U98" s="298">
        <v>2.8071591122090556E-2</v>
      </c>
    </row>
    <row r="99" spans="1:21" ht="14.4" x14ac:dyDescent="0.3">
      <c r="A99" s="43">
        <v>37</v>
      </c>
      <c r="B99" s="43"/>
      <c r="C99" s="1"/>
      <c r="D99" s="298">
        <v>4.7242605294817244</v>
      </c>
      <c r="E99" s="298">
        <v>1.4147795985274163</v>
      </c>
      <c r="F99" s="298">
        <v>0.86563302172429457</v>
      </c>
      <c r="G99" s="298">
        <v>0.58792408051231626</v>
      </c>
      <c r="H99" s="298">
        <v>0.44571284137714501</v>
      </c>
      <c r="I99" s="298">
        <v>0.35071388358174704</v>
      </c>
      <c r="J99" s="298">
        <v>0.34192356461046053</v>
      </c>
      <c r="K99" s="298">
        <v>0.32136315457507253</v>
      </c>
      <c r="L99" s="298">
        <v>0.32334277343163409</v>
      </c>
      <c r="M99" s="298">
        <v>0.31458122808120276</v>
      </c>
      <c r="N99" s="298">
        <v>0.26038899134139826</v>
      </c>
      <c r="O99" s="298">
        <v>0.23293659142238254</v>
      </c>
      <c r="P99" s="298">
        <v>0.23495243567481122</v>
      </c>
      <c r="Q99" s="298">
        <v>0.1983093021126322</v>
      </c>
      <c r="R99" s="298">
        <v>0.19995839901366486</v>
      </c>
      <c r="S99" s="298">
        <v>0.19995839901366486</v>
      </c>
      <c r="T99" s="298">
        <v>0.19995839901366486</v>
      </c>
      <c r="U99" s="298">
        <v>0.19995839901366486</v>
      </c>
    </row>
    <row r="100" spans="1:21" ht="14.4" x14ac:dyDescent="0.3">
      <c r="A100" s="43">
        <v>38</v>
      </c>
      <c r="B100" s="43"/>
      <c r="C100" s="1"/>
      <c r="D100" s="298">
        <v>0.15658261184107439</v>
      </c>
      <c r="E100" s="298">
        <v>6.9206297258360139E-2</v>
      </c>
      <c r="F100" s="298">
        <v>0.11719738000471913</v>
      </c>
      <c r="G100" s="298">
        <v>9.0950515996728487E-2</v>
      </c>
      <c r="H100" s="298">
        <v>5.6069430808107633E-2</v>
      </c>
      <c r="I100" s="298">
        <v>0.18457651004529252</v>
      </c>
      <c r="J100" s="298">
        <v>0.21861320828195963</v>
      </c>
      <c r="K100" s="298">
        <v>0.14805460867942424</v>
      </c>
      <c r="L100" s="298">
        <v>0.10865726471480185</v>
      </c>
      <c r="M100" s="298">
        <v>8.7921961526698345E-2</v>
      </c>
      <c r="N100" s="298">
        <v>5.8256465500538285E-2</v>
      </c>
      <c r="O100" s="298">
        <v>4.4253058727944716E-2</v>
      </c>
      <c r="P100" s="298">
        <v>3.9509788445304235E-2</v>
      </c>
      <c r="Q100" s="298">
        <v>2.9542651780987427E-2</v>
      </c>
      <c r="R100" s="298">
        <v>2.8071591122090556E-2</v>
      </c>
      <c r="S100" s="298">
        <v>2.8071591122090556E-2</v>
      </c>
      <c r="T100" s="298">
        <v>2.8071591122090556E-2</v>
      </c>
      <c r="U100" s="298">
        <v>2.8071591122090556E-2</v>
      </c>
    </row>
    <row r="101" spans="1:21" ht="14.4" x14ac:dyDescent="0.3">
      <c r="A101" s="43">
        <v>39</v>
      </c>
      <c r="B101" s="43"/>
      <c r="C101" s="1"/>
      <c r="D101" s="298">
        <v>0.2079850899943797</v>
      </c>
      <c r="E101" s="298">
        <v>0.13041647508011303</v>
      </c>
      <c r="F101" s="298">
        <v>0.12947509110634475</v>
      </c>
      <c r="G101" s="298">
        <v>0.11009404781577684</v>
      </c>
      <c r="H101" s="298">
        <v>6.014929527512837E-2</v>
      </c>
      <c r="I101" s="298">
        <v>0.21949671273146126</v>
      </c>
      <c r="J101" s="298">
        <v>0.27640701454444089</v>
      </c>
      <c r="K101" s="298">
        <v>0.17818419975534588</v>
      </c>
      <c r="L101" s="298">
        <v>0.12256174642203793</v>
      </c>
      <c r="M101" s="298">
        <v>9.8387203409769475E-2</v>
      </c>
      <c r="N101" s="298">
        <v>7.1958024598108364E-2</v>
      </c>
      <c r="O101" s="298">
        <v>5.1366620792552581E-2</v>
      </c>
      <c r="P101" s="298">
        <v>4.2850088405828553E-2</v>
      </c>
      <c r="Q101" s="298">
        <v>3.5922322150466021E-2</v>
      </c>
      <c r="R101" s="298">
        <v>3.4556391879303032E-2</v>
      </c>
      <c r="S101" s="298">
        <v>3.4556391879303032E-2</v>
      </c>
      <c r="T101" s="298">
        <v>3.4556391879303032E-2</v>
      </c>
      <c r="U101" s="298">
        <v>3.4556391879303032E-2</v>
      </c>
    </row>
    <row r="102" spans="1:21" ht="14.4" x14ac:dyDescent="0.3">
      <c r="A102" s="43">
        <v>40</v>
      </c>
      <c r="B102" s="43"/>
      <c r="C102" s="1"/>
      <c r="D102" s="298">
        <v>0.15658261184107439</v>
      </c>
      <c r="E102" s="298">
        <v>6.9206297258360139E-2</v>
      </c>
      <c r="F102" s="298">
        <v>0.11719738000471913</v>
      </c>
      <c r="G102" s="298">
        <v>9.0950515996728487E-2</v>
      </c>
      <c r="H102" s="298">
        <v>5.6069430808107633E-2</v>
      </c>
      <c r="I102" s="298">
        <v>0.18457651004529252</v>
      </c>
      <c r="J102" s="298">
        <v>0.21861320828195963</v>
      </c>
      <c r="K102" s="298">
        <v>0.14805460867942424</v>
      </c>
      <c r="L102" s="298">
        <v>0.10865726471480185</v>
      </c>
      <c r="M102" s="298">
        <v>8.7921961526698345E-2</v>
      </c>
      <c r="N102" s="298">
        <v>5.8256465500538285E-2</v>
      </c>
      <c r="O102" s="298">
        <v>4.4253058727944716E-2</v>
      </c>
      <c r="P102" s="298">
        <v>3.9509788445304235E-2</v>
      </c>
      <c r="Q102" s="298">
        <v>2.9542651780987427E-2</v>
      </c>
      <c r="R102" s="298">
        <v>2.8071591122090556E-2</v>
      </c>
      <c r="S102" s="298">
        <v>2.8071591122090556E-2</v>
      </c>
      <c r="T102" s="298">
        <v>2.8071591122090556E-2</v>
      </c>
      <c r="U102" s="298">
        <v>2.8071591122090556E-2</v>
      </c>
    </row>
    <row r="103" spans="1:21" ht="14.4" x14ac:dyDescent="0.3">
      <c r="A103" s="43">
        <v>41</v>
      </c>
      <c r="B103" s="43"/>
      <c r="C103" s="1"/>
      <c r="D103" s="298">
        <v>2.9593523720748518</v>
      </c>
      <c r="E103" s="298">
        <v>1.3960448536050045</v>
      </c>
      <c r="F103" s="298">
        <v>0.9788469484846104</v>
      </c>
      <c r="G103" s="298">
        <v>0.76626902234982497</v>
      </c>
      <c r="H103" s="298">
        <v>0.64986432358583057</v>
      </c>
      <c r="I103" s="298">
        <v>0.49479101470748305</v>
      </c>
      <c r="J103" s="298">
        <v>0.39951328972932304</v>
      </c>
      <c r="K103" s="298">
        <v>0.41594580564321404</v>
      </c>
      <c r="L103" s="298">
        <v>0.37579029347140652</v>
      </c>
      <c r="M103" s="298">
        <v>0.32440122806902955</v>
      </c>
      <c r="N103" s="298">
        <v>0.30529874652047795</v>
      </c>
      <c r="O103" s="298">
        <v>0.272856325769609</v>
      </c>
      <c r="P103" s="298">
        <v>0.23528249165808171</v>
      </c>
      <c r="Q103" s="298">
        <v>0.21930268062364178</v>
      </c>
      <c r="R103" s="298">
        <v>0.21942223358685053</v>
      </c>
      <c r="S103" s="298">
        <v>0.21942223358685053</v>
      </c>
      <c r="T103" s="298">
        <v>0.21942223358685053</v>
      </c>
      <c r="U103" s="298">
        <v>0.21942223358685053</v>
      </c>
    </row>
    <row r="104" spans="1:21" ht="14.4" x14ac:dyDescent="0.3">
      <c r="A104" s="43">
        <v>42</v>
      </c>
      <c r="B104" s="43"/>
      <c r="C104" s="1"/>
      <c r="D104" s="298">
        <v>0.15658261184107439</v>
      </c>
      <c r="E104" s="298">
        <v>6.9206297258360139E-2</v>
      </c>
      <c r="F104" s="298">
        <v>0.11719738000471913</v>
      </c>
      <c r="G104" s="298">
        <v>9.0950515996728487E-2</v>
      </c>
      <c r="H104" s="298">
        <v>5.6069430808107633E-2</v>
      </c>
      <c r="I104" s="298">
        <v>0.18457651004529252</v>
      </c>
      <c r="J104" s="298">
        <v>0.21861320828195963</v>
      </c>
      <c r="K104" s="298">
        <v>0.14805460867942424</v>
      </c>
      <c r="L104" s="298">
        <v>0.10865726471480185</v>
      </c>
      <c r="M104" s="298">
        <v>8.7921961526698345E-2</v>
      </c>
      <c r="N104" s="298">
        <v>5.8256465500538285E-2</v>
      </c>
      <c r="O104" s="298">
        <v>4.4253058727944716E-2</v>
      </c>
      <c r="P104" s="298">
        <v>3.9509788445304235E-2</v>
      </c>
      <c r="Q104" s="298">
        <v>2.9542651780987427E-2</v>
      </c>
      <c r="R104" s="298">
        <v>2.8071591122090556E-2</v>
      </c>
      <c r="S104" s="298">
        <v>2.8071591122090556E-2</v>
      </c>
      <c r="T104" s="298">
        <v>2.8071591122090556E-2</v>
      </c>
      <c r="U104" s="298">
        <v>2.8071591122090556E-2</v>
      </c>
    </row>
    <row r="105" spans="1:21" ht="14.4" x14ac:dyDescent="0.3">
      <c r="A105" s="43">
        <v>43</v>
      </c>
      <c r="B105" s="43"/>
      <c r="C105" s="1"/>
      <c r="D105" s="298">
        <v>2.2178560512821952</v>
      </c>
      <c r="E105" s="298">
        <v>1.1905972320783262</v>
      </c>
      <c r="F105" s="298">
        <v>0.75615175660327605</v>
      </c>
      <c r="G105" s="298">
        <v>0.45362551647456517</v>
      </c>
      <c r="H105" s="298">
        <v>0.28528173727691464</v>
      </c>
      <c r="I105" s="298">
        <v>0.21779752656057286</v>
      </c>
      <c r="J105" s="298">
        <v>0.25538951981730396</v>
      </c>
      <c r="K105" s="298">
        <v>0.24818871965708805</v>
      </c>
      <c r="L105" s="298">
        <v>0.22308863199724832</v>
      </c>
      <c r="M105" s="298">
        <v>0.19779080449305989</v>
      </c>
      <c r="N105" s="298">
        <v>0.1877023014843526</v>
      </c>
      <c r="O105" s="298">
        <v>0.18024721970812474</v>
      </c>
      <c r="P105" s="298">
        <v>0.14969356494618877</v>
      </c>
      <c r="Q105" s="298">
        <v>0.15402172112964774</v>
      </c>
      <c r="R105" s="298">
        <v>0.14788153997371078</v>
      </c>
      <c r="S105" s="298">
        <v>0.14788153997371078</v>
      </c>
      <c r="T105" s="298">
        <v>0.14788153997371078</v>
      </c>
      <c r="U105" s="298">
        <v>0.14788153997371078</v>
      </c>
    </row>
    <row r="106" spans="1:21" ht="14.4" x14ac:dyDescent="0.3">
      <c r="A106" s="43">
        <v>44</v>
      </c>
      <c r="B106" s="43"/>
      <c r="C106" s="1"/>
      <c r="D106" s="298">
        <v>0.15658261184107439</v>
      </c>
      <c r="E106" s="298">
        <v>6.9206297258360139E-2</v>
      </c>
      <c r="F106" s="298">
        <v>0.11719738000471913</v>
      </c>
      <c r="G106" s="298">
        <v>9.0950515996728487E-2</v>
      </c>
      <c r="H106" s="298">
        <v>5.6069430808107633E-2</v>
      </c>
      <c r="I106" s="298">
        <v>0.18457651004529252</v>
      </c>
      <c r="J106" s="298">
        <v>0.21861320828195963</v>
      </c>
      <c r="K106" s="298">
        <v>0.14805460867942424</v>
      </c>
      <c r="L106" s="298">
        <v>0.10865726471480185</v>
      </c>
      <c r="M106" s="298">
        <v>8.7921961526698345E-2</v>
      </c>
      <c r="N106" s="298">
        <v>5.8256465500538285E-2</v>
      </c>
      <c r="O106" s="298">
        <v>4.4253058727944716E-2</v>
      </c>
      <c r="P106" s="298">
        <v>3.9509788445304235E-2</v>
      </c>
      <c r="Q106" s="298">
        <v>2.9542651780987427E-2</v>
      </c>
      <c r="R106" s="298">
        <v>2.8071591122090556E-2</v>
      </c>
      <c r="S106" s="298">
        <v>2.8071591122090556E-2</v>
      </c>
      <c r="T106" s="298">
        <v>2.8071591122090556E-2</v>
      </c>
      <c r="U106" s="298">
        <v>2.8071591122090556E-2</v>
      </c>
    </row>
    <row r="107" spans="1:21" ht="14.4" x14ac:dyDescent="0.3">
      <c r="A107" s="43">
        <v>45</v>
      </c>
      <c r="B107" s="43"/>
      <c r="C107" s="1"/>
      <c r="D107" s="298">
        <v>0.15674381381219379</v>
      </c>
      <c r="E107" s="298">
        <v>6.9135515452953725E-2</v>
      </c>
      <c r="F107" s="298">
        <v>0.11721931861181524</v>
      </c>
      <c r="G107" s="298">
        <v>9.0976276916425139E-2</v>
      </c>
      <c r="H107" s="298">
        <v>5.5974795488511517E-2</v>
      </c>
      <c r="I107" s="298">
        <v>0.18455139999068912</v>
      </c>
      <c r="J107" s="298">
        <v>0.21866515563030009</v>
      </c>
      <c r="K107" s="298">
        <v>0.14808361462956454</v>
      </c>
      <c r="L107" s="298">
        <v>0.10867252849450271</v>
      </c>
      <c r="M107" s="298">
        <v>8.7932880027034033E-2</v>
      </c>
      <c r="N107" s="298">
        <v>5.8261619608528936E-2</v>
      </c>
      <c r="O107" s="298">
        <v>4.4254803859095013E-2</v>
      </c>
      <c r="P107" s="298">
        <v>3.9511622355493263E-2</v>
      </c>
      <c r="Q107" s="298">
        <v>2.9543012509050892E-2</v>
      </c>
      <c r="R107" s="298">
        <v>2.8071590865564936E-2</v>
      </c>
      <c r="S107" s="298">
        <v>2.8071590865564936E-2</v>
      </c>
      <c r="T107" s="298">
        <v>2.8071590865564936E-2</v>
      </c>
      <c r="U107" s="298">
        <v>2.8071590865564936E-2</v>
      </c>
    </row>
    <row r="108" spans="1:21" ht="14.4" x14ac:dyDescent="0.3">
      <c r="A108" s="43">
        <v>46</v>
      </c>
      <c r="B108" s="43"/>
      <c r="C108" s="1"/>
      <c r="D108" s="298">
        <v>0.15658261184107439</v>
      </c>
      <c r="E108" s="298">
        <v>6.9206297258360139E-2</v>
      </c>
      <c r="F108" s="298">
        <v>0.11719738000471913</v>
      </c>
      <c r="G108" s="298">
        <v>9.0950515996728487E-2</v>
      </c>
      <c r="H108" s="298">
        <v>5.6069430808107633E-2</v>
      </c>
      <c r="I108" s="298">
        <v>0.18457651004529252</v>
      </c>
      <c r="J108" s="298">
        <v>0.21861320828195963</v>
      </c>
      <c r="K108" s="298">
        <v>0.14805460867942424</v>
      </c>
      <c r="L108" s="298">
        <v>0.10865726471480185</v>
      </c>
      <c r="M108" s="298">
        <v>8.7921961526698345E-2</v>
      </c>
      <c r="N108" s="298">
        <v>5.8256465500538285E-2</v>
      </c>
      <c r="O108" s="298">
        <v>4.4253058727944716E-2</v>
      </c>
      <c r="P108" s="298">
        <v>3.9509788445304235E-2</v>
      </c>
      <c r="Q108" s="298">
        <v>2.9542651780987427E-2</v>
      </c>
      <c r="R108" s="298">
        <v>2.8071591122090556E-2</v>
      </c>
      <c r="S108" s="298">
        <v>2.8071591122090556E-2</v>
      </c>
      <c r="T108" s="298">
        <v>2.8071591122090556E-2</v>
      </c>
      <c r="U108" s="298">
        <v>2.8071591122090556E-2</v>
      </c>
    </row>
    <row r="109" spans="1:21" ht="14.4" x14ac:dyDescent="0.3">
      <c r="A109" s="43">
        <v>47</v>
      </c>
      <c r="B109" s="43"/>
      <c r="C109" s="1"/>
      <c r="D109" s="298">
        <v>2.3268630691236321</v>
      </c>
      <c r="E109" s="298">
        <v>0.78641478977548207</v>
      </c>
      <c r="F109" s="298">
        <v>0.65683719239534155</v>
      </c>
      <c r="G109" s="298">
        <v>0.58143321676267457</v>
      </c>
      <c r="H109" s="298">
        <v>0.44928960665019158</v>
      </c>
      <c r="I109" s="298">
        <v>0.41294151992551731</v>
      </c>
      <c r="J109" s="298">
        <v>0.2940568330031525</v>
      </c>
      <c r="K109" s="298">
        <v>0.2786885915405366</v>
      </c>
      <c r="L109" s="298">
        <v>0.26697263616116279</v>
      </c>
      <c r="M109" s="298">
        <v>0.26064585390490097</v>
      </c>
      <c r="N109" s="298">
        <v>0.2367936036530196</v>
      </c>
      <c r="O109" s="298">
        <v>0.19038468562778788</v>
      </c>
      <c r="P109" s="298">
        <v>0.18456070692514012</v>
      </c>
      <c r="Q109" s="298">
        <v>0.16108516476637483</v>
      </c>
      <c r="R109" s="298">
        <v>0.15522073313539117</v>
      </c>
      <c r="S109" s="298">
        <v>0.15522073313539117</v>
      </c>
      <c r="T109" s="298">
        <v>0.15522073313539117</v>
      </c>
      <c r="U109" s="298">
        <v>0.15522073313539117</v>
      </c>
    </row>
    <row r="110" spans="1:21" ht="14.4" x14ac:dyDescent="0.3">
      <c r="A110" s="43">
        <v>48</v>
      </c>
      <c r="B110" s="43"/>
      <c r="C110" s="1"/>
      <c r="D110" s="298">
        <v>0.15658261184107439</v>
      </c>
      <c r="E110" s="298">
        <v>6.9206297258360139E-2</v>
      </c>
      <c r="F110" s="298">
        <v>0.11719738000471913</v>
      </c>
      <c r="G110" s="298">
        <v>9.0950515996728487E-2</v>
      </c>
      <c r="H110" s="298">
        <v>5.6069430808107633E-2</v>
      </c>
      <c r="I110" s="298">
        <v>0.18457651004529252</v>
      </c>
      <c r="J110" s="298">
        <v>0.21861320828195963</v>
      </c>
      <c r="K110" s="298">
        <v>0.14805460867942424</v>
      </c>
      <c r="L110" s="298">
        <v>0.10865726471480185</v>
      </c>
      <c r="M110" s="298">
        <v>8.7921961526698345E-2</v>
      </c>
      <c r="N110" s="298">
        <v>5.8256465500538285E-2</v>
      </c>
      <c r="O110" s="298">
        <v>4.4253058727944716E-2</v>
      </c>
      <c r="P110" s="298">
        <v>3.9509788445304235E-2</v>
      </c>
      <c r="Q110" s="298">
        <v>2.9542651780987427E-2</v>
      </c>
      <c r="R110" s="298">
        <v>2.8071591122090556E-2</v>
      </c>
      <c r="S110" s="298">
        <v>2.8071591122090556E-2</v>
      </c>
      <c r="T110" s="298">
        <v>2.8071591122090556E-2</v>
      </c>
      <c r="U110" s="298">
        <v>2.8071591122090556E-2</v>
      </c>
    </row>
    <row r="111" spans="1:21" ht="14.4" x14ac:dyDescent="0.3">
      <c r="A111" s="43">
        <v>49</v>
      </c>
      <c r="B111" s="43"/>
      <c r="C111" s="1"/>
      <c r="D111" s="298">
        <v>2.222090686942058</v>
      </c>
      <c r="E111" s="298">
        <v>0.8231320290067401</v>
      </c>
      <c r="F111" s="298">
        <v>0.54372728367538525</v>
      </c>
      <c r="G111" s="298">
        <v>0.33388586731319231</v>
      </c>
      <c r="H111" s="298">
        <v>0.20472977887589594</v>
      </c>
      <c r="I111" s="298">
        <v>0.16067909526322774</v>
      </c>
      <c r="J111" s="298">
        <v>0.19635848943192444</v>
      </c>
      <c r="K111" s="298">
        <v>0.18022284651166184</v>
      </c>
      <c r="L111" s="298">
        <v>0.15241194609444156</v>
      </c>
      <c r="M111" s="298">
        <v>0.14568078669873447</v>
      </c>
      <c r="N111" s="298">
        <v>0.14316623416465049</v>
      </c>
      <c r="O111" s="298">
        <v>0.11820986355275069</v>
      </c>
      <c r="P111" s="298">
        <v>0.11324661442841535</v>
      </c>
      <c r="Q111" s="298">
        <v>0.10591950094820782</v>
      </c>
      <c r="R111" s="298">
        <v>0.10181373046970461</v>
      </c>
      <c r="S111" s="298">
        <v>0.10181373046970461</v>
      </c>
      <c r="T111" s="298">
        <v>0.10181373046970461</v>
      </c>
      <c r="U111" s="298">
        <v>0.10181373046970461</v>
      </c>
    </row>
    <row r="112" spans="1:21" ht="14.4" x14ac:dyDescent="0.3">
      <c r="A112" s="43">
        <v>50</v>
      </c>
      <c r="B112" s="43"/>
      <c r="C112" s="1"/>
      <c r="D112" s="298">
        <v>0.15658261184107439</v>
      </c>
      <c r="E112" s="298">
        <v>6.9206297258360139E-2</v>
      </c>
      <c r="F112" s="298">
        <v>0.11719738000471913</v>
      </c>
      <c r="G112" s="298">
        <v>9.0950515996728487E-2</v>
      </c>
      <c r="H112" s="298">
        <v>5.6069430808107633E-2</v>
      </c>
      <c r="I112" s="298">
        <v>0.18457651004529252</v>
      </c>
      <c r="J112" s="298">
        <v>0.21861320828195963</v>
      </c>
      <c r="K112" s="298">
        <v>0.14805460867942424</v>
      </c>
      <c r="L112" s="298">
        <v>0.10865726471480185</v>
      </c>
      <c r="M112" s="298">
        <v>8.7921961526698345E-2</v>
      </c>
      <c r="N112" s="298">
        <v>5.8256465500538285E-2</v>
      </c>
      <c r="O112" s="298">
        <v>4.4253058727944716E-2</v>
      </c>
      <c r="P112" s="298">
        <v>3.9509788445304235E-2</v>
      </c>
      <c r="Q112" s="298">
        <v>2.9542651780987427E-2</v>
      </c>
      <c r="R112" s="298">
        <v>2.8071591122090556E-2</v>
      </c>
      <c r="S112" s="298">
        <v>2.8071591122090556E-2</v>
      </c>
      <c r="T112" s="298">
        <v>2.8071591122090556E-2</v>
      </c>
      <c r="U112" s="298">
        <v>2.8071591122090556E-2</v>
      </c>
    </row>
    <row r="113" spans="2:21" x14ac:dyDescent="0.25">
      <c r="D113" s="51"/>
    </row>
    <row r="114" spans="2:21" x14ac:dyDescent="0.25">
      <c r="B114" s="26" t="s">
        <v>5</v>
      </c>
      <c r="D114" s="32">
        <f t="shared" ref="D114:U114" si="7">SQRT(SUMSQ(D64:D112))</f>
        <v>163.93774717643851</v>
      </c>
      <c r="E114" s="32">
        <f t="shared" si="7"/>
        <v>113.48802501155089</v>
      </c>
      <c r="F114" s="32">
        <f t="shared" si="7"/>
        <v>92.201479834948017</v>
      </c>
      <c r="G114" s="32">
        <f t="shared" si="7"/>
        <v>70.914070764570482</v>
      </c>
      <c r="H114" s="32">
        <f t="shared" si="7"/>
        <v>54.750054571794223</v>
      </c>
      <c r="I114" s="32">
        <f t="shared" si="7"/>
        <v>45.409107972180678</v>
      </c>
      <c r="J114" s="32">
        <f t="shared" si="7"/>
        <v>40.452846599409661</v>
      </c>
      <c r="K114" s="32">
        <f t="shared" si="7"/>
        <v>36.567604373048553</v>
      </c>
      <c r="L114" s="32">
        <f t="shared" si="7"/>
        <v>33.722497172696237</v>
      </c>
      <c r="M114" s="32">
        <f t="shared" si="7"/>
        <v>31.537820676686238</v>
      </c>
      <c r="N114" s="32">
        <f t="shared" si="7"/>
        <v>28.353599859458789</v>
      </c>
      <c r="O114" s="32">
        <f t="shared" si="7"/>
        <v>26.003967172553079</v>
      </c>
      <c r="P114" s="32">
        <f t="shared" si="7"/>
        <v>24.160245237926446</v>
      </c>
      <c r="Q114" s="32">
        <f t="shared" si="7"/>
        <v>21.249690073067327</v>
      </c>
      <c r="R114" s="32">
        <f t="shared" si="7"/>
        <v>21.247242746791578</v>
      </c>
      <c r="S114" s="32">
        <f t="shared" si="7"/>
        <v>21.247242746791578</v>
      </c>
      <c r="T114" s="32">
        <f t="shared" si="7"/>
        <v>21.247242746791578</v>
      </c>
      <c r="U114" s="32">
        <f t="shared" si="7"/>
        <v>21.247242746791578</v>
      </c>
    </row>
    <row r="116" spans="2:21" x14ac:dyDescent="0.25">
      <c r="D116" s="32"/>
      <c r="E116" s="32"/>
      <c r="F116" s="32"/>
      <c r="G116" s="32"/>
      <c r="H116" s="32"/>
      <c r="I116" s="32"/>
    </row>
    <row r="118" spans="2:21" x14ac:dyDescent="0.25">
      <c r="D118" s="32"/>
      <c r="E118" s="32"/>
      <c r="F118" s="32"/>
      <c r="G118" s="32"/>
      <c r="H118" s="32"/>
      <c r="I118" s="32"/>
    </row>
  </sheetData>
  <pageMargins left="0.75" right="0.75" top="1" bottom="1" header="0.5" footer="0.5"/>
  <pageSetup scale="86" fitToWidth="2" fitToHeight="2" orientation="portrait" r:id="rId1"/>
  <headerFooter alignWithMargins="0">
    <oddHeader>&amp;R&amp;D
&amp;T
rh</oddHeader>
    <oddFooter>&amp;L&amp;F
&amp;A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U118"/>
  <sheetViews>
    <sheetView workbookViewId="0">
      <selection activeCell="H4" sqref="H4:H53"/>
    </sheetView>
  </sheetViews>
  <sheetFormatPr defaultRowHeight="13.2" x14ac:dyDescent="0.25"/>
  <cols>
    <col min="1" max="6" width="9.109375" style="26"/>
    <col min="7" max="7" width="9.109375" style="26" customWidth="1"/>
    <col min="8" max="8" width="10.6640625" style="26" customWidth="1"/>
    <col min="9" max="262" width="9.109375" style="26"/>
    <col min="263" max="263" width="9.5546875" style="26" bestFit="1" customWidth="1"/>
    <col min="264" max="264" width="10.6640625" style="26" customWidth="1"/>
    <col min="265" max="518" width="9.109375" style="26"/>
    <col min="519" max="519" width="9.5546875" style="26" bestFit="1" customWidth="1"/>
    <col min="520" max="520" width="10.6640625" style="26" customWidth="1"/>
    <col min="521" max="774" width="9.109375" style="26"/>
    <col min="775" max="775" width="9.5546875" style="26" bestFit="1" customWidth="1"/>
    <col min="776" max="776" width="10.6640625" style="26" customWidth="1"/>
    <col min="777" max="1030" width="9.109375" style="26"/>
    <col min="1031" max="1031" width="9.5546875" style="26" bestFit="1" customWidth="1"/>
    <col min="1032" max="1032" width="10.6640625" style="26" customWidth="1"/>
    <col min="1033" max="1286" width="9.109375" style="26"/>
    <col min="1287" max="1287" width="9.5546875" style="26" bestFit="1" customWidth="1"/>
    <col min="1288" max="1288" width="10.6640625" style="26" customWidth="1"/>
    <col min="1289" max="1542" width="9.109375" style="26"/>
    <col min="1543" max="1543" width="9.5546875" style="26" bestFit="1" customWidth="1"/>
    <col min="1544" max="1544" width="10.6640625" style="26" customWidth="1"/>
    <col min="1545" max="1798" width="9.109375" style="26"/>
    <col min="1799" max="1799" width="9.5546875" style="26" bestFit="1" customWidth="1"/>
    <col min="1800" max="1800" width="10.6640625" style="26" customWidth="1"/>
    <col min="1801" max="2054" width="9.109375" style="26"/>
    <col min="2055" max="2055" width="9.5546875" style="26" bestFit="1" customWidth="1"/>
    <col min="2056" max="2056" width="10.6640625" style="26" customWidth="1"/>
    <col min="2057" max="2310" width="9.109375" style="26"/>
    <col min="2311" max="2311" width="9.5546875" style="26" bestFit="1" customWidth="1"/>
    <col min="2312" max="2312" width="10.6640625" style="26" customWidth="1"/>
    <col min="2313" max="2566" width="9.109375" style="26"/>
    <col min="2567" max="2567" width="9.5546875" style="26" bestFit="1" customWidth="1"/>
    <col min="2568" max="2568" width="10.6640625" style="26" customWidth="1"/>
    <col min="2569" max="2822" width="9.109375" style="26"/>
    <col min="2823" max="2823" width="9.5546875" style="26" bestFit="1" customWidth="1"/>
    <col min="2824" max="2824" width="10.6640625" style="26" customWidth="1"/>
    <col min="2825" max="3078" width="9.109375" style="26"/>
    <col min="3079" max="3079" width="9.5546875" style="26" bestFit="1" customWidth="1"/>
    <col min="3080" max="3080" width="10.6640625" style="26" customWidth="1"/>
    <col min="3081" max="3334" width="9.109375" style="26"/>
    <col min="3335" max="3335" width="9.5546875" style="26" bestFit="1" customWidth="1"/>
    <col min="3336" max="3336" width="10.6640625" style="26" customWidth="1"/>
    <col min="3337" max="3590" width="9.109375" style="26"/>
    <col min="3591" max="3591" width="9.5546875" style="26" bestFit="1" customWidth="1"/>
    <col min="3592" max="3592" width="10.6640625" style="26" customWidth="1"/>
    <col min="3593" max="3846" width="9.109375" style="26"/>
    <col min="3847" max="3847" width="9.5546875" style="26" bestFit="1" customWidth="1"/>
    <col min="3848" max="3848" width="10.6640625" style="26" customWidth="1"/>
    <col min="3849" max="4102" width="9.109375" style="26"/>
    <col min="4103" max="4103" width="9.5546875" style="26" bestFit="1" customWidth="1"/>
    <col min="4104" max="4104" width="10.6640625" style="26" customWidth="1"/>
    <col min="4105" max="4358" width="9.109375" style="26"/>
    <col min="4359" max="4359" width="9.5546875" style="26" bestFit="1" customWidth="1"/>
    <col min="4360" max="4360" width="10.6640625" style="26" customWidth="1"/>
    <col min="4361" max="4614" width="9.109375" style="26"/>
    <col min="4615" max="4615" width="9.5546875" style="26" bestFit="1" customWidth="1"/>
    <col min="4616" max="4616" width="10.6640625" style="26" customWidth="1"/>
    <col min="4617" max="4870" width="9.109375" style="26"/>
    <col min="4871" max="4871" width="9.5546875" style="26" bestFit="1" customWidth="1"/>
    <col min="4872" max="4872" width="10.6640625" style="26" customWidth="1"/>
    <col min="4873" max="5126" width="9.109375" style="26"/>
    <col min="5127" max="5127" width="9.5546875" style="26" bestFit="1" customWidth="1"/>
    <col min="5128" max="5128" width="10.6640625" style="26" customWidth="1"/>
    <col min="5129" max="5382" width="9.109375" style="26"/>
    <col min="5383" max="5383" width="9.5546875" style="26" bestFit="1" customWidth="1"/>
    <col min="5384" max="5384" width="10.6640625" style="26" customWidth="1"/>
    <col min="5385" max="5638" width="9.109375" style="26"/>
    <col min="5639" max="5639" width="9.5546875" style="26" bestFit="1" customWidth="1"/>
    <col min="5640" max="5640" width="10.6640625" style="26" customWidth="1"/>
    <col min="5641" max="5894" width="9.109375" style="26"/>
    <col min="5895" max="5895" width="9.5546875" style="26" bestFit="1" customWidth="1"/>
    <col min="5896" max="5896" width="10.6640625" style="26" customWidth="1"/>
    <col min="5897" max="6150" width="9.109375" style="26"/>
    <col min="6151" max="6151" width="9.5546875" style="26" bestFit="1" customWidth="1"/>
    <col min="6152" max="6152" width="10.6640625" style="26" customWidth="1"/>
    <col min="6153" max="6406" width="9.109375" style="26"/>
    <col min="6407" max="6407" width="9.5546875" style="26" bestFit="1" customWidth="1"/>
    <col min="6408" max="6408" width="10.6640625" style="26" customWidth="1"/>
    <col min="6409" max="6662" width="9.109375" style="26"/>
    <col min="6663" max="6663" width="9.5546875" style="26" bestFit="1" customWidth="1"/>
    <col min="6664" max="6664" width="10.6640625" style="26" customWidth="1"/>
    <col min="6665" max="6918" width="9.109375" style="26"/>
    <col min="6919" max="6919" width="9.5546875" style="26" bestFit="1" customWidth="1"/>
    <col min="6920" max="6920" width="10.6640625" style="26" customWidth="1"/>
    <col min="6921" max="7174" width="9.109375" style="26"/>
    <col min="7175" max="7175" width="9.5546875" style="26" bestFit="1" customWidth="1"/>
    <col min="7176" max="7176" width="10.6640625" style="26" customWidth="1"/>
    <col min="7177" max="7430" width="9.109375" style="26"/>
    <col min="7431" max="7431" width="9.5546875" style="26" bestFit="1" customWidth="1"/>
    <col min="7432" max="7432" width="10.6640625" style="26" customWidth="1"/>
    <col min="7433" max="7686" width="9.109375" style="26"/>
    <col min="7687" max="7687" width="9.5546875" style="26" bestFit="1" customWidth="1"/>
    <col min="7688" max="7688" width="10.6640625" style="26" customWidth="1"/>
    <col min="7689" max="7942" width="9.109375" style="26"/>
    <col min="7943" max="7943" width="9.5546875" style="26" bestFit="1" customWidth="1"/>
    <col min="7944" max="7944" width="10.6640625" style="26" customWidth="1"/>
    <col min="7945" max="8198" width="9.109375" style="26"/>
    <col min="8199" max="8199" width="9.5546875" style="26" bestFit="1" customWidth="1"/>
    <col min="8200" max="8200" width="10.6640625" style="26" customWidth="1"/>
    <col min="8201" max="8454" width="9.109375" style="26"/>
    <col min="8455" max="8455" width="9.5546875" style="26" bestFit="1" customWidth="1"/>
    <col min="8456" max="8456" width="10.6640625" style="26" customWidth="1"/>
    <col min="8457" max="8710" width="9.109375" style="26"/>
    <col min="8711" max="8711" width="9.5546875" style="26" bestFit="1" customWidth="1"/>
    <col min="8712" max="8712" width="10.6640625" style="26" customWidth="1"/>
    <col min="8713" max="8966" width="9.109375" style="26"/>
    <col min="8967" max="8967" width="9.5546875" style="26" bestFit="1" customWidth="1"/>
    <col min="8968" max="8968" width="10.6640625" style="26" customWidth="1"/>
    <col min="8969" max="9222" width="9.109375" style="26"/>
    <col min="9223" max="9223" width="9.5546875" style="26" bestFit="1" customWidth="1"/>
    <col min="9224" max="9224" width="10.6640625" style="26" customWidth="1"/>
    <col min="9225" max="9478" width="9.109375" style="26"/>
    <col min="9479" max="9479" width="9.5546875" style="26" bestFit="1" customWidth="1"/>
    <col min="9480" max="9480" width="10.6640625" style="26" customWidth="1"/>
    <col min="9481" max="9734" width="9.109375" style="26"/>
    <col min="9735" max="9735" width="9.5546875" style="26" bestFit="1" customWidth="1"/>
    <col min="9736" max="9736" width="10.6640625" style="26" customWidth="1"/>
    <col min="9737" max="9990" width="9.109375" style="26"/>
    <col min="9991" max="9991" width="9.5546875" style="26" bestFit="1" customWidth="1"/>
    <col min="9992" max="9992" width="10.6640625" style="26" customWidth="1"/>
    <col min="9993" max="10246" width="9.109375" style="26"/>
    <col min="10247" max="10247" width="9.5546875" style="26" bestFit="1" customWidth="1"/>
    <col min="10248" max="10248" width="10.6640625" style="26" customWidth="1"/>
    <col min="10249" max="10502" width="9.109375" style="26"/>
    <col min="10503" max="10503" width="9.5546875" style="26" bestFit="1" customWidth="1"/>
    <col min="10504" max="10504" width="10.6640625" style="26" customWidth="1"/>
    <col min="10505" max="10758" width="9.109375" style="26"/>
    <col min="10759" max="10759" width="9.5546875" style="26" bestFit="1" customWidth="1"/>
    <col min="10760" max="10760" width="10.6640625" style="26" customWidth="1"/>
    <col min="10761" max="11014" width="9.109375" style="26"/>
    <col min="11015" max="11015" width="9.5546875" style="26" bestFit="1" customWidth="1"/>
    <col min="11016" max="11016" width="10.6640625" style="26" customWidth="1"/>
    <col min="11017" max="11270" width="9.109375" style="26"/>
    <col min="11271" max="11271" width="9.5546875" style="26" bestFit="1" customWidth="1"/>
    <col min="11272" max="11272" width="10.6640625" style="26" customWidth="1"/>
    <col min="11273" max="11526" width="9.109375" style="26"/>
    <col min="11527" max="11527" width="9.5546875" style="26" bestFit="1" customWidth="1"/>
    <col min="11528" max="11528" width="10.6640625" style="26" customWidth="1"/>
    <col min="11529" max="11782" width="9.109375" style="26"/>
    <col min="11783" max="11783" width="9.5546875" style="26" bestFit="1" customWidth="1"/>
    <col min="11784" max="11784" width="10.6640625" style="26" customWidth="1"/>
    <col min="11785" max="12038" width="9.109375" style="26"/>
    <col min="12039" max="12039" width="9.5546875" style="26" bestFit="1" customWidth="1"/>
    <col min="12040" max="12040" width="10.6640625" style="26" customWidth="1"/>
    <col min="12041" max="12294" width="9.109375" style="26"/>
    <col min="12295" max="12295" width="9.5546875" style="26" bestFit="1" customWidth="1"/>
    <col min="12296" max="12296" width="10.6640625" style="26" customWidth="1"/>
    <col min="12297" max="12550" width="9.109375" style="26"/>
    <col min="12551" max="12551" width="9.5546875" style="26" bestFit="1" customWidth="1"/>
    <col min="12552" max="12552" width="10.6640625" style="26" customWidth="1"/>
    <col min="12553" max="12806" width="9.109375" style="26"/>
    <col min="12807" max="12807" width="9.5546875" style="26" bestFit="1" customWidth="1"/>
    <col min="12808" max="12808" width="10.6640625" style="26" customWidth="1"/>
    <col min="12809" max="13062" width="9.109375" style="26"/>
    <col min="13063" max="13063" width="9.5546875" style="26" bestFit="1" customWidth="1"/>
    <col min="13064" max="13064" width="10.6640625" style="26" customWidth="1"/>
    <col min="13065" max="13318" width="9.109375" style="26"/>
    <col min="13319" max="13319" width="9.5546875" style="26" bestFit="1" customWidth="1"/>
    <col min="13320" max="13320" width="10.6640625" style="26" customWidth="1"/>
    <col min="13321" max="13574" width="9.109375" style="26"/>
    <col min="13575" max="13575" width="9.5546875" style="26" bestFit="1" customWidth="1"/>
    <col min="13576" max="13576" width="10.6640625" style="26" customWidth="1"/>
    <col min="13577" max="13830" width="9.109375" style="26"/>
    <col min="13831" max="13831" width="9.5546875" style="26" bestFit="1" customWidth="1"/>
    <col min="13832" max="13832" width="10.6640625" style="26" customWidth="1"/>
    <col min="13833" max="14086" width="9.109375" style="26"/>
    <col min="14087" max="14087" width="9.5546875" style="26" bestFit="1" customWidth="1"/>
    <col min="14088" max="14088" width="10.6640625" style="26" customWidth="1"/>
    <col min="14089" max="14342" width="9.109375" style="26"/>
    <col min="14343" max="14343" width="9.5546875" style="26" bestFit="1" customWidth="1"/>
    <col min="14344" max="14344" width="10.6640625" style="26" customWidth="1"/>
    <col min="14345" max="14598" width="9.109375" style="26"/>
    <col min="14599" max="14599" width="9.5546875" style="26" bestFit="1" customWidth="1"/>
    <col min="14600" max="14600" width="10.6640625" style="26" customWidth="1"/>
    <col min="14601" max="14854" width="9.109375" style="26"/>
    <col min="14855" max="14855" width="9.5546875" style="26" bestFit="1" customWidth="1"/>
    <col min="14856" max="14856" width="10.6640625" style="26" customWidth="1"/>
    <col min="14857" max="15110" width="9.109375" style="26"/>
    <col min="15111" max="15111" width="9.5546875" style="26" bestFit="1" customWidth="1"/>
    <col min="15112" max="15112" width="10.6640625" style="26" customWidth="1"/>
    <col min="15113" max="15366" width="9.109375" style="26"/>
    <col min="15367" max="15367" width="9.5546875" style="26" bestFit="1" customWidth="1"/>
    <col min="15368" max="15368" width="10.6640625" style="26" customWidth="1"/>
    <col min="15369" max="15622" width="9.109375" style="26"/>
    <col min="15623" max="15623" width="9.5546875" style="26" bestFit="1" customWidth="1"/>
    <col min="15624" max="15624" width="10.6640625" style="26" customWidth="1"/>
    <col min="15625" max="15878" width="9.109375" style="26"/>
    <col min="15879" max="15879" width="9.5546875" style="26" bestFit="1" customWidth="1"/>
    <col min="15880" max="15880" width="10.6640625" style="26" customWidth="1"/>
    <col min="15881" max="16134" width="9.109375" style="26"/>
    <col min="16135" max="16135" width="9.5546875" style="26" bestFit="1" customWidth="1"/>
    <col min="16136" max="16136" width="10.6640625" style="26" customWidth="1"/>
    <col min="16137" max="16384" width="9.109375" style="26"/>
  </cols>
  <sheetData>
    <row r="1" spans="1:15" ht="13.8" thickBot="1" x14ac:dyDescent="0.3">
      <c r="A1" s="84" t="s">
        <v>284</v>
      </c>
      <c r="B1" s="275" t="s">
        <v>402</v>
      </c>
      <c r="C1" s="33">
        <f>Drives!BA24</f>
        <v>38490.017945975058</v>
      </c>
      <c r="D1" s="28" t="s">
        <v>7</v>
      </c>
      <c r="E1" s="300">
        <v>13</v>
      </c>
      <c r="F1" s="301">
        <f>MAX(0.1,E1+100/C1)</f>
        <v>13.002598076211353</v>
      </c>
      <c r="G1" s="36" t="s">
        <v>1</v>
      </c>
      <c r="H1" s="29">
        <f>IF(J1=0,0,H4/J1)</f>
        <v>0</v>
      </c>
      <c r="I1" s="54" t="s">
        <v>94</v>
      </c>
      <c r="J1" s="34">
        <f>Drives!Z24</f>
        <v>0</v>
      </c>
      <c r="K1" s="26" t="s">
        <v>84</v>
      </c>
      <c r="N1" s="254">
        <v>0.95</v>
      </c>
      <c r="O1" s="26" t="s">
        <v>176</v>
      </c>
    </row>
    <row r="2" spans="1:15" x14ac:dyDescent="0.25">
      <c r="A2" s="269" t="s">
        <v>88</v>
      </c>
      <c r="B2" s="276">
        <v>24</v>
      </c>
      <c r="D2" s="26">
        <f>C4+1</f>
        <v>12</v>
      </c>
      <c r="E2" s="41">
        <f>F1-C3</f>
        <v>1.0025980762113527</v>
      </c>
      <c r="F2" s="36"/>
      <c r="G2" s="36"/>
      <c r="J2" s="29">
        <f>IF(J1&gt;=0.6, 0.7+(J1-0.6)*0.75, IF(J1&gt;=0.2, 0.3+(J1-0.2)*1, J1*1.5))</f>
        <v>0</v>
      </c>
      <c r="K2" s="26" t="s">
        <v>60</v>
      </c>
    </row>
    <row r="3" spans="1:15" ht="13.8" thickBot="1" x14ac:dyDescent="0.3">
      <c r="A3" s="270" t="s">
        <v>365</v>
      </c>
      <c r="C3" s="41">
        <f>HLOOKUP($F$1,$D$62:$U$113,(B3+1))</f>
        <v>12</v>
      </c>
      <c r="D3" s="41">
        <f>HLOOKUP($D$2,$D$61:$U$113,(B3+2))</f>
        <v>14</v>
      </c>
      <c r="E3" s="26">
        <f>D3-C3</f>
        <v>2</v>
      </c>
      <c r="F3" s="26">
        <f>IF(E3=0,1,E2/E3)</f>
        <v>0.50129903810567633</v>
      </c>
      <c r="G3" s="32">
        <f>C3+(E3*F3)</f>
        <v>13.002598076211353</v>
      </c>
      <c r="J3" s="31"/>
    </row>
    <row r="4" spans="1:15" ht="13.8" thickBot="1" x14ac:dyDescent="0.3">
      <c r="A4" s="31" t="s">
        <v>90</v>
      </c>
      <c r="B4" s="26">
        <v>1</v>
      </c>
      <c r="C4" s="302">
        <f t="shared" ref="C4:C53" si="0">HLOOKUP($F$1,$D$62:$U$113,(B4+1))</f>
        <v>11</v>
      </c>
      <c r="D4" s="302">
        <f t="shared" ref="D4:D53" si="1">HLOOKUP($D$2,$D$61:$U$113,(B4+2))</f>
        <v>12</v>
      </c>
      <c r="G4" s="27">
        <v>100</v>
      </c>
      <c r="H4" s="34">
        <f>Drives!AR24</f>
        <v>0</v>
      </c>
      <c r="I4" s="26" t="s">
        <v>53</v>
      </c>
    </row>
    <row r="5" spans="1:15" x14ac:dyDescent="0.25">
      <c r="A5" s="31"/>
      <c r="B5" s="26">
        <v>2</v>
      </c>
      <c r="C5" s="52">
        <f t="shared" si="0"/>
        <v>3.9068771982494086E-3</v>
      </c>
      <c r="D5" s="52">
        <f t="shared" si="1"/>
        <v>1.783236037225493E-2</v>
      </c>
      <c r="E5" s="48">
        <f t="shared" ref="E5:E53" si="2">D5-C5</f>
        <v>1.3925483174005521E-2</v>
      </c>
      <c r="F5" s="48">
        <f t="shared" ref="F5:F53" si="3">E5*$F$3</f>
        <v>6.9808313202857483E-3</v>
      </c>
      <c r="G5" s="48">
        <f t="shared" ref="G5:G53" si="4">C5+F5</f>
        <v>1.0887708518535157E-2</v>
      </c>
      <c r="H5" s="30">
        <f>J$2*G5*$H$1/100</f>
        <v>0</v>
      </c>
    </row>
    <row r="6" spans="1:15" x14ac:dyDescent="0.25">
      <c r="A6" s="270" t="s">
        <v>408</v>
      </c>
      <c r="B6" s="26">
        <v>3</v>
      </c>
      <c r="C6" s="52">
        <f t="shared" si="0"/>
        <v>1.512989131711088</v>
      </c>
      <c r="D6" s="52">
        <f t="shared" si="1"/>
        <v>1.2479844012146544</v>
      </c>
      <c r="E6" s="48">
        <f t="shared" si="2"/>
        <v>-0.26500473049643358</v>
      </c>
      <c r="F6" s="48">
        <f t="shared" si="3"/>
        <v>-0.13284661649131616</v>
      </c>
      <c r="G6" s="48">
        <f t="shared" si="4"/>
        <v>1.3801425152197717</v>
      </c>
      <c r="H6" s="30">
        <f t="shared" ref="H6:H53" si="5">J$2*G6*$H$1/100</f>
        <v>0</v>
      </c>
    </row>
    <row r="7" spans="1:15" x14ac:dyDescent="0.25">
      <c r="A7" s="270" t="s">
        <v>92</v>
      </c>
      <c r="B7" s="26">
        <v>4</v>
      </c>
      <c r="C7" s="52">
        <f t="shared" si="0"/>
        <v>3.318391374383355E-3</v>
      </c>
      <c r="D7" s="52">
        <f t="shared" si="1"/>
        <v>1.8380050856337499E-2</v>
      </c>
      <c r="E7" s="48">
        <f t="shared" si="2"/>
        <v>1.5061659481954145E-2</v>
      </c>
      <c r="F7" s="48">
        <f t="shared" si="3"/>
        <v>7.5503954105788518E-3</v>
      </c>
      <c r="G7" s="48">
        <f t="shared" si="4"/>
        <v>1.0868786784962206E-2</v>
      </c>
      <c r="H7" s="30">
        <f t="shared" si="5"/>
        <v>0</v>
      </c>
    </row>
    <row r="8" spans="1:15" x14ac:dyDescent="0.25">
      <c r="A8" s="50"/>
      <c r="B8" s="26">
        <v>5</v>
      </c>
      <c r="C8" s="52">
        <f t="shared" si="0"/>
        <v>24.524377947577921</v>
      </c>
      <c r="D8" s="52">
        <f t="shared" si="1"/>
        <v>22.666145948519805</v>
      </c>
      <c r="E8" s="48">
        <f t="shared" si="2"/>
        <v>-1.8582319990581162</v>
      </c>
      <c r="F8" s="48">
        <f t="shared" si="3"/>
        <v>-0.93152991370502169</v>
      </c>
      <c r="G8" s="48">
        <f t="shared" si="4"/>
        <v>23.592848033872901</v>
      </c>
      <c r="H8" s="30">
        <f t="shared" si="5"/>
        <v>0</v>
      </c>
    </row>
    <row r="9" spans="1:15" x14ac:dyDescent="0.25">
      <c r="A9" s="50"/>
      <c r="B9" s="26">
        <v>6</v>
      </c>
      <c r="C9" s="52">
        <f t="shared" si="0"/>
        <v>2.1005572354824645E-3</v>
      </c>
      <c r="D9" s="52">
        <f t="shared" si="1"/>
        <v>9.2816222816082712E-3</v>
      </c>
      <c r="E9" s="48">
        <f t="shared" si="2"/>
        <v>7.1810650461258067E-3</v>
      </c>
      <c r="F9" s="48">
        <f t="shared" si="3"/>
        <v>3.5998610001971611E-3</v>
      </c>
      <c r="G9" s="48">
        <f t="shared" si="4"/>
        <v>5.7004182356796256E-3</v>
      </c>
      <c r="H9" s="30">
        <f t="shared" si="5"/>
        <v>0</v>
      </c>
    </row>
    <row r="10" spans="1:15" x14ac:dyDescent="0.25">
      <c r="B10" s="26">
        <v>7</v>
      </c>
      <c r="C10" s="52">
        <f t="shared" si="0"/>
        <v>6.6273860488121423</v>
      </c>
      <c r="D10" s="52">
        <f t="shared" si="1"/>
        <v>6.8022403042729351</v>
      </c>
      <c r="E10" s="48">
        <f t="shared" si="2"/>
        <v>0.17485425546079281</v>
      </c>
      <c r="F10" s="48">
        <f t="shared" si="3"/>
        <v>8.7654270071179638E-2</v>
      </c>
      <c r="G10" s="48">
        <f t="shared" si="4"/>
        <v>6.7150403188833216</v>
      </c>
      <c r="H10" s="30">
        <f t="shared" si="5"/>
        <v>0</v>
      </c>
    </row>
    <row r="11" spans="1:15" x14ac:dyDescent="0.25">
      <c r="B11" s="26">
        <v>8</v>
      </c>
      <c r="C11" s="52">
        <f t="shared" si="0"/>
        <v>1.2216655309818655E-3</v>
      </c>
      <c r="D11" s="52">
        <f t="shared" si="1"/>
        <v>6.4595461603830819E-3</v>
      </c>
      <c r="E11" s="48">
        <f t="shared" si="2"/>
        <v>5.2378806294012164E-3</v>
      </c>
      <c r="F11" s="48">
        <f t="shared" si="3"/>
        <v>2.6257445212311843E-3</v>
      </c>
      <c r="G11" s="48">
        <f t="shared" si="4"/>
        <v>3.8474100522130497E-3</v>
      </c>
      <c r="H11" s="30">
        <f t="shared" si="5"/>
        <v>0</v>
      </c>
    </row>
    <row r="12" spans="1:15" x14ac:dyDescent="0.25">
      <c r="B12" s="26">
        <v>9</v>
      </c>
      <c r="C12" s="52">
        <f t="shared" si="0"/>
        <v>0.22626624756676589</v>
      </c>
      <c r="D12" s="52">
        <f t="shared" si="1"/>
        <v>0.1789795622711387</v>
      </c>
      <c r="E12" s="48">
        <f t="shared" si="2"/>
        <v>-4.7286685295627184E-2</v>
      </c>
      <c r="F12" s="48">
        <f t="shared" si="3"/>
        <v>-2.3704769853903736E-2</v>
      </c>
      <c r="G12" s="48">
        <f t="shared" si="4"/>
        <v>0.20256147771286215</v>
      </c>
      <c r="H12" s="30">
        <f t="shared" si="5"/>
        <v>0</v>
      </c>
    </row>
    <row r="13" spans="1:15" x14ac:dyDescent="0.25">
      <c r="B13" s="26">
        <v>10</v>
      </c>
      <c r="C13" s="52">
        <f t="shared" si="0"/>
        <v>2.8410236973985879E-3</v>
      </c>
      <c r="D13" s="52">
        <f t="shared" si="1"/>
        <v>3.0933034144878684E-3</v>
      </c>
      <c r="E13" s="48">
        <f t="shared" si="2"/>
        <v>2.5227971708928053E-4</v>
      </c>
      <c r="F13" s="48">
        <f t="shared" si="3"/>
        <v>1.2646757951042848E-4</v>
      </c>
      <c r="G13" s="48">
        <f t="shared" si="4"/>
        <v>2.9674912769090166E-3</v>
      </c>
      <c r="H13" s="30">
        <f t="shared" si="5"/>
        <v>0</v>
      </c>
    </row>
    <row r="14" spans="1:15" x14ac:dyDescent="0.25">
      <c r="B14" s="26">
        <v>11</v>
      </c>
      <c r="C14" s="52">
        <f t="shared" si="0"/>
        <v>4.037747204995374</v>
      </c>
      <c r="D14" s="52">
        <f t="shared" si="1"/>
        <v>3.4442053406397228</v>
      </c>
      <c r="E14" s="48">
        <f t="shared" si="2"/>
        <v>-0.59354186435565115</v>
      </c>
      <c r="F14" s="48">
        <f t="shared" si="3"/>
        <v>-0.29754196567693775</v>
      </c>
      <c r="G14" s="48">
        <f t="shared" si="4"/>
        <v>3.7402052393184362</v>
      </c>
      <c r="H14" s="30">
        <f t="shared" si="5"/>
        <v>0</v>
      </c>
    </row>
    <row r="15" spans="1:15" x14ac:dyDescent="0.25">
      <c r="B15" s="26">
        <v>12</v>
      </c>
      <c r="C15" s="52">
        <f t="shared" si="0"/>
        <v>7.0415228820549169E-4</v>
      </c>
      <c r="D15" s="52">
        <f t="shared" si="1"/>
        <v>3.2866827675993235E-3</v>
      </c>
      <c r="E15" s="48">
        <f t="shared" si="2"/>
        <v>2.5825304793938319E-3</v>
      </c>
      <c r="F15" s="48">
        <f t="shared" si="3"/>
        <v>1.2946200451987191E-3</v>
      </c>
      <c r="G15" s="48">
        <f t="shared" si="4"/>
        <v>1.9987723334042107E-3</v>
      </c>
      <c r="H15" s="30">
        <f t="shared" si="5"/>
        <v>0</v>
      </c>
    </row>
    <row r="16" spans="1:15" x14ac:dyDescent="0.25">
      <c r="B16" s="26">
        <v>13</v>
      </c>
      <c r="C16" s="52">
        <f t="shared" si="0"/>
        <v>2.6891381919916104</v>
      </c>
      <c r="D16" s="52">
        <f t="shared" si="1"/>
        <v>2.4129113867682368</v>
      </c>
      <c r="E16" s="48">
        <f t="shared" si="2"/>
        <v>-0.27622680522337362</v>
      </c>
      <c r="F16" s="48">
        <f t="shared" si="3"/>
        <v>-0.13847223175748122</v>
      </c>
      <c r="G16" s="48">
        <f t="shared" si="4"/>
        <v>2.5506659602341291</v>
      </c>
      <c r="H16" s="30">
        <f t="shared" si="5"/>
        <v>0</v>
      </c>
    </row>
    <row r="17" spans="2:8" x14ac:dyDescent="0.25">
      <c r="B17" s="26">
        <v>14</v>
      </c>
      <c r="C17" s="52">
        <f t="shared" si="0"/>
        <v>8.8566143641728831E-4</v>
      </c>
      <c r="D17" s="52">
        <f t="shared" si="1"/>
        <v>4.5856434142929501E-3</v>
      </c>
      <c r="E17" s="48">
        <f t="shared" si="2"/>
        <v>3.6999819778756617E-3</v>
      </c>
      <c r="F17" s="48">
        <f t="shared" si="3"/>
        <v>1.854797406517407E-3</v>
      </c>
      <c r="G17" s="48">
        <f t="shared" si="4"/>
        <v>2.7404588429346954E-3</v>
      </c>
      <c r="H17" s="30">
        <f t="shared" si="5"/>
        <v>0</v>
      </c>
    </row>
    <row r="18" spans="2:8" x14ac:dyDescent="0.25">
      <c r="B18" s="26">
        <v>15</v>
      </c>
      <c r="C18" s="52">
        <f t="shared" si="0"/>
        <v>0.15238590146764369</v>
      </c>
      <c r="D18" s="52">
        <f t="shared" si="1"/>
        <v>0.13879587874692803</v>
      </c>
      <c r="E18" s="48">
        <f t="shared" si="2"/>
        <v>-1.3590022720715661E-2</v>
      </c>
      <c r="F18" s="48">
        <f t="shared" si="3"/>
        <v>-6.8126653177290469E-3</v>
      </c>
      <c r="G18" s="48">
        <f t="shared" si="4"/>
        <v>0.14557323614991463</v>
      </c>
      <c r="H18" s="30">
        <f t="shared" si="5"/>
        <v>0</v>
      </c>
    </row>
    <row r="19" spans="2:8" x14ac:dyDescent="0.25">
      <c r="B19" s="26">
        <v>16</v>
      </c>
      <c r="C19" s="52">
        <f t="shared" si="0"/>
        <v>1.7707278526791228E-3</v>
      </c>
      <c r="D19" s="52">
        <f t="shared" si="1"/>
        <v>3.8905467511792919E-3</v>
      </c>
      <c r="E19" s="48">
        <f t="shared" si="2"/>
        <v>2.1198188985001691E-3</v>
      </c>
      <c r="F19" s="48">
        <f t="shared" si="3"/>
        <v>1.0626631747763691E-3</v>
      </c>
      <c r="G19" s="48">
        <f t="shared" si="4"/>
        <v>2.8333910274554921E-3</v>
      </c>
      <c r="H19" s="30">
        <f t="shared" si="5"/>
        <v>0</v>
      </c>
    </row>
    <row r="20" spans="2:8" x14ac:dyDescent="0.25">
      <c r="B20" s="26">
        <v>17</v>
      </c>
      <c r="C20" s="52">
        <f t="shared" si="0"/>
        <v>1.4251739565426205</v>
      </c>
      <c r="D20" s="52">
        <f t="shared" si="1"/>
        <v>1.4117622874341469</v>
      </c>
      <c r="E20" s="48">
        <f t="shared" si="2"/>
        <v>-1.3411669108473578E-2</v>
      </c>
      <c r="F20" s="48">
        <f t="shared" si="3"/>
        <v>-6.7232568234694189E-3</v>
      </c>
      <c r="G20" s="48">
        <f t="shared" si="4"/>
        <v>1.4184506997191511</v>
      </c>
      <c r="H20" s="30">
        <f t="shared" si="5"/>
        <v>0</v>
      </c>
    </row>
    <row r="21" spans="2:8" x14ac:dyDescent="0.25">
      <c r="B21" s="26">
        <v>18</v>
      </c>
      <c r="C21" s="52">
        <f t="shared" si="0"/>
        <v>7.1766985210155283E-4</v>
      </c>
      <c r="D21" s="52">
        <f t="shared" si="1"/>
        <v>1.6747979107749516E-3</v>
      </c>
      <c r="E21" s="48">
        <f t="shared" si="2"/>
        <v>9.5712805867339873E-4</v>
      </c>
      <c r="F21" s="48">
        <f t="shared" si="3"/>
        <v>4.798073751569281E-4</v>
      </c>
      <c r="G21" s="48">
        <f t="shared" si="4"/>
        <v>1.1974772272584809E-3</v>
      </c>
      <c r="H21" s="30">
        <f t="shared" si="5"/>
        <v>0</v>
      </c>
    </row>
    <row r="22" spans="2:8" x14ac:dyDescent="0.25">
      <c r="B22" s="26">
        <v>19</v>
      </c>
      <c r="C22" s="52">
        <f t="shared" si="0"/>
        <v>0.96493434637770215</v>
      </c>
      <c r="D22" s="52">
        <f t="shared" si="1"/>
        <v>0.86230538911097832</v>
      </c>
      <c r="E22" s="48">
        <f t="shared" si="2"/>
        <v>-0.10262895726672383</v>
      </c>
      <c r="F22" s="48">
        <f t="shared" si="3"/>
        <v>-5.1447797559597219E-2</v>
      </c>
      <c r="G22" s="48">
        <f t="shared" si="4"/>
        <v>0.91348654881810498</v>
      </c>
      <c r="H22" s="30">
        <f t="shared" si="5"/>
        <v>0</v>
      </c>
    </row>
    <row r="23" spans="2:8" x14ac:dyDescent="0.25">
      <c r="B23" s="26">
        <v>20</v>
      </c>
      <c r="C23" s="52">
        <f t="shared" si="0"/>
        <v>2.3631359410929234E-3</v>
      </c>
      <c r="D23" s="52">
        <f t="shared" si="1"/>
        <v>2.0372139828744758E-3</v>
      </c>
      <c r="E23" s="48">
        <f t="shared" si="2"/>
        <v>-3.2592195821844758E-4</v>
      </c>
      <c r="F23" s="48">
        <f t="shared" si="3"/>
        <v>-1.6338436415242621E-4</v>
      </c>
      <c r="G23" s="48">
        <f t="shared" si="4"/>
        <v>2.1997515769404973E-3</v>
      </c>
      <c r="H23" s="30">
        <f t="shared" si="5"/>
        <v>0</v>
      </c>
    </row>
    <row r="24" spans="2:8" x14ac:dyDescent="0.25">
      <c r="B24" s="26">
        <v>21</v>
      </c>
      <c r="C24" s="52">
        <f t="shared" si="0"/>
        <v>0.11057082122039739</v>
      </c>
      <c r="D24" s="52">
        <f t="shared" si="1"/>
        <v>8.69095877563483E-2</v>
      </c>
      <c r="E24" s="48">
        <f t="shared" si="2"/>
        <v>-2.3661233464049095E-2</v>
      </c>
      <c r="F24" s="48">
        <f t="shared" si="3"/>
        <v>-1.186135357592165E-2</v>
      </c>
      <c r="G24" s="48">
        <f t="shared" si="4"/>
        <v>9.8709467644475746E-2</v>
      </c>
      <c r="H24" s="30">
        <f t="shared" si="5"/>
        <v>0</v>
      </c>
    </row>
    <row r="25" spans="2:8" x14ac:dyDescent="0.25">
      <c r="B25" s="26">
        <v>22</v>
      </c>
      <c r="C25" s="52">
        <f t="shared" si="0"/>
        <v>2.3683965026528521E-3</v>
      </c>
      <c r="D25" s="52">
        <f t="shared" si="1"/>
        <v>2.2687748359132434E-3</v>
      </c>
      <c r="E25" s="48">
        <f t="shared" si="2"/>
        <v>-9.962166673960866E-5</v>
      </c>
      <c r="F25" s="48">
        <f t="shared" si="3"/>
        <v>-4.9940245711050071E-5</v>
      </c>
      <c r="G25" s="48">
        <f t="shared" si="4"/>
        <v>2.318456256941802E-3</v>
      </c>
      <c r="H25" s="30">
        <f t="shared" si="5"/>
        <v>0</v>
      </c>
    </row>
    <row r="26" spans="2:8" x14ac:dyDescent="0.25">
      <c r="B26" s="26">
        <v>23</v>
      </c>
      <c r="C26" s="52">
        <f t="shared" si="0"/>
        <v>0.91499109629030073</v>
      </c>
      <c r="D26" s="52">
        <f t="shared" si="1"/>
        <v>0.81941237005377587</v>
      </c>
      <c r="E26" s="48">
        <f t="shared" si="2"/>
        <v>-9.5578726236524858E-2</v>
      </c>
      <c r="F26" s="48">
        <f t="shared" si="3"/>
        <v>-4.7913523525735684E-2</v>
      </c>
      <c r="G26" s="48">
        <f t="shared" si="4"/>
        <v>0.8670775727645651</v>
      </c>
      <c r="H26" s="30">
        <f t="shared" si="5"/>
        <v>0</v>
      </c>
    </row>
    <row r="27" spans="2:8" x14ac:dyDescent="0.25">
      <c r="B27" s="26">
        <v>24</v>
      </c>
      <c r="C27" s="52">
        <f t="shared" si="0"/>
        <v>5.0465814106315395E-4</v>
      </c>
      <c r="D27" s="52">
        <f t="shared" si="1"/>
        <v>2.4652728971896356E-3</v>
      </c>
      <c r="E27" s="48">
        <f t="shared" si="2"/>
        <v>1.9606147561264816E-3</v>
      </c>
      <c r="F27" s="48">
        <f t="shared" si="3"/>
        <v>9.8285429134200046E-4</v>
      </c>
      <c r="G27" s="48">
        <f t="shared" si="4"/>
        <v>1.4875124324051545E-3</v>
      </c>
      <c r="H27" s="30">
        <f t="shared" si="5"/>
        <v>0</v>
      </c>
    </row>
    <row r="28" spans="2:8" x14ac:dyDescent="0.25">
      <c r="B28" s="26">
        <v>25</v>
      </c>
      <c r="C28" s="52">
        <f t="shared" si="0"/>
        <v>0.59625159344747769</v>
      </c>
      <c r="D28" s="52">
        <f t="shared" si="1"/>
        <v>0.57911197721694829</v>
      </c>
      <c r="E28" s="48">
        <f t="shared" si="2"/>
        <v>-1.7139616230529398E-2</v>
      </c>
      <c r="F28" s="48">
        <f t="shared" si="3"/>
        <v>-8.5920731298648242E-3</v>
      </c>
      <c r="G28" s="48">
        <f t="shared" si="4"/>
        <v>0.58765952031761282</v>
      </c>
      <c r="H28" s="30">
        <f t="shared" si="5"/>
        <v>0</v>
      </c>
    </row>
    <row r="29" spans="2:8" x14ac:dyDescent="0.25">
      <c r="B29" s="26">
        <v>26</v>
      </c>
      <c r="C29" s="52">
        <f t="shared" si="0"/>
        <v>1.4156391535011382E-3</v>
      </c>
      <c r="D29" s="52">
        <f t="shared" si="1"/>
        <v>2.35923526977449E-3</v>
      </c>
      <c r="E29" s="48">
        <f t="shared" si="2"/>
        <v>9.4359611627335173E-4</v>
      </c>
      <c r="F29" s="48">
        <f t="shared" si="3"/>
        <v>4.7302382544808314E-4</v>
      </c>
      <c r="G29" s="48">
        <f t="shared" si="4"/>
        <v>1.8886629789492213E-3</v>
      </c>
      <c r="H29" s="30">
        <f t="shared" si="5"/>
        <v>0</v>
      </c>
    </row>
    <row r="30" spans="2:8" x14ac:dyDescent="0.25">
      <c r="B30" s="26">
        <v>27</v>
      </c>
      <c r="C30" s="52">
        <f t="shared" si="0"/>
        <v>7.5391622206023953E-2</v>
      </c>
      <c r="D30" s="52">
        <f t="shared" si="1"/>
        <v>6.8011485955306775E-2</v>
      </c>
      <c r="E30" s="48">
        <f t="shared" si="2"/>
        <v>-7.3801362507171786E-3</v>
      </c>
      <c r="F30" s="48">
        <f t="shared" si="3"/>
        <v>-3.699655203573354E-3</v>
      </c>
      <c r="G30" s="48">
        <f t="shared" si="4"/>
        <v>7.1691967002450604E-2</v>
      </c>
      <c r="H30" s="30">
        <f t="shared" si="5"/>
        <v>0</v>
      </c>
    </row>
    <row r="31" spans="2:8" x14ac:dyDescent="0.25">
      <c r="B31" s="26">
        <v>28</v>
      </c>
      <c r="C31" s="52">
        <f t="shared" si="0"/>
        <v>1.7536756837702497E-3</v>
      </c>
      <c r="D31" s="52">
        <f t="shared" si="1"/>
        <v>1.2486380283558422E-3</v>
      </c>
      <c r="E31" s="48">
        <f t="shared" si="2"/>
        <v>-5.0503765541440749E-4</v>
      </c>
      <c r="F31" s="48">
        <f t="shared" si="3"/>
        <v>-2.5317489086638847E-4</v>
      </c>
      <c r="G31" s="48">
        <f t="shared" si="4"/>
        <v>1.5005007929038612E-3</v>
      </c>
      <c r="H31" s="30">
        <f t="shared" si="5"/>
        <v>0</v>
      </c>
    </row>
    <row r="32" spans="2:8" x14ac:dyDescent="0.25">
      <c r="B32" s="26">
        <v>29</v>
      </c>
      <c r="C32" s="52">
        <f t="shared" si="0"/>
        <v>0.50578743449988961</v>
      </c>
      <c r="D32" s="52">
        <f t="shared" si="1"/>
        <v>0.46727025134098182</v>
      </c>
      <c r="E32" s="48">
        <f t="shared" si="2"/>
        <v>-3.8517183158907786E-2</v>
      </c>
      <c r="F32" s="48">
        <f t="shared" si="3"/>
        <v>-1.9308626868100628E-2</v>
      </c>
      <c r="G32" s="48">
        <f t="shared" si="4"/>
        <v>0.48647880763178897</v>
      </c>
      <c r="H32" s="30">
        <f t="shared" si="5"/>
        <v>0</v>
      </c>
    </row>
    <row r="33" spans="2:8" x14ac:dyDescent="0.25">
      <c r="B33" s="26">
        <v>30</v>
      </c>
      <c r="C33" s="52">
        <f t="shared" si="0"/>
        <v>5.3985110846739104E-4</v>
      </c>
      <c r="D33" s="52">
        <f t="shared" si="1"/>
        <v>8.6189772740157076E-4</v>
      </c>
      <c r="E33" s="48">
        <f t="shared" si="2"/>
        <v>3.2204661893417972E-4</v>
      </c>
      <c r="F33" s="48">
        <f t="shared" si="3"/>
        <v>1.6144166029688958E-4</v>
      </c>
      <c r="G33" s="48">
        <f t="shared" si="4"/>
        <v>7.0129276876428059E-4</v>
      </c>
      <c r="H33" s="30">
        <f t="shared" si="5"/>
        <v>0</v>
      </c>
    </row>
    <row r="34" spans="2:8" x14ac:dyDescent="0.25">
      <c r="B34" s="26">
        <v>31</v>
      </c>
      <c r="C34" s="52">
        <f t="shared" si="0"/>
        <v>0.37617527613812002</v>
      </c>
      <c r="D34" s="52">
        <f t="shared" si="1"/>
        <v>0.31678577460681751</v>
      </c>
      <c r="E34" s="48">
        <f t="shared" si="2"/>
        <v>-5.9389501531302513E-2</v>
      </c>
      <c r="F34" s="48">
        <f t="shared" si="3"/>
        <v>-2.9771899991217543E-2</v>
      </c>
      <c r="G34" s="48">
        <f t="shared" si="4"/>
        <v>0.34640337614690248</v>
      </c>
      <c r="H34" s="30">
        <f t="shared" si="5"/>
        <v>0</v>
      </c>
    </row>
    <row r="35" spans="2:8" x14ac:dyDescent="0.25">
      <c r="B35" s="26">
        <v>32</v>
      </c>
      <c r="C35" s="52">
        <f t="shared" si="0"/>
        <v>1.2699646308248702E-3</v>
      </c>
      <c r="D35" s="52">
        <f t="shared" si="1"/>
        <v>2.2444292602197963E-3</v>
      </c>
      <c r="E35" s="48">
        <f t="shared" si="2"/>
        <v>9.7446462939492612E-4</v>
      </c>
      <c r="F35" s="48">
        <f t="shared" si="3"/>
        <v>4.8849818138368083E-4</v>
      </c>
      <c r="G35" s="48">
        <f t="shared" si="4"/>
        <v>1.758462812208551E-3</v>
      </c>
      <c r="H35" s="30">
        <f t="shared" si="5"/>
        <v>0</v>
      </c>
    </row>
    <row r="36" spans="2:8" x14ac:dyDescent="0.25">
      <c r="B36" s="26">
        <v>33</v>
      </c>
      <c r="C36" s="52">
        <f t="shared" si="0"/>
        <v>6.7503639523961864E-2</v>
      </c>
      <c r="D36" s="52">
        <f t="shared" si="1"/>
        <v>5.6413371607669127E-2</v>
      </c>
      <c r="E36" s="48">
        <f t="shared" si="2"/>
        <v>-1.1090267916292737E-2</v>
      </c>
      <c r="F36" s="48">
        <f t="shared" si="3"/>
        <v>-5.5595406387717924E-3</v>
      </c>
      <c r="G36" s="48">
        <f t="shared" si="4"/>
        <v>6.194409888519007E-2</v>
      </c>
      <c r="H36" s="30">
        <f t="shared" si="5"/>
        <v>0</v>
      </c>
    </row>
    <row r="37" spans="2:8" x14ac:dyDescent="0.25">
      <c r="B37" s="26">
        <v>34</v>
      </c>
      <c r="C37" s="52">
        <f t="shared" si="0"/>
        <v>4.4253058727944716E-2</v>
      </c>
      <c r="D37" s="52">
        <f t="shared" si="1"/>
        <v>3.9509788445304235E-2</v>
      </c>
      <c r="E37" s="48">
        <f t="shared" si="2"/>
        <v>-4.7432702826404813E-3</v>
      </c>
      <c r="F37" s="48">
        <f t="shared" si="3"/>
        <v>-2.377796830162913E-3</v>
      </c>
      <c r="G37" s="48">
        <f t="shared" si="4"/>
        <v>4.1875261897781804E-2</v>
      </c>
      <c r="H37" s="30">
        <f t="shared" si="5"/>
        <v>0</v>
      </c>
    </row>
    <row r="38" spans="2:8" x14ac:dyDescent="0.25">
      <c r="B38" s="26">
        <v>35</v>
      </c>
      <c r="C38" s="52">
        <f t="shared" si="0"/>
        <v>0.36343466624775511</v>
      </c>
      <c r="D38" s="52">
        <f t="shared" si="1"/>
        <v>0.35166631128246867</v>
      </c>
      <c r="E38" s="48">
        <f t="shared" si="2"/>
        <v>-1.1768354965286443E-2</v>
      </c>
      <c r="F38" s="48">
        <f t="shared" si="3"/>
        <v>-5.899465024184254E-3</v>
      </c>
      <c r="G38" s="48">
        <f t="shared" si="4"/>
        <v>0.35753520122357085</v>
      </c>
      <c r="H38" s="30">
        <f t="shared" si="5"/>
        <v>0</v>
      </c>
    </row>
    <row r="39" spans="2:8" x14ac:dyDescent="0.25">
      <c r="B39" s="26">
        <v>36</v>
      </c>
      <c r="C39" s="52">
        <f t="shared" si="0"/>
        <v>4.4253058727944716E-2</v>
      </c>
      <c r="D39" s="52">
        <f t="shared" si="1"/>
        <v>3.9509788445304235E-2</v>
      </c>
      <c r="E39" s="48">
        <f t="shared" si="2"/>
        <v>-4.7432702826404813E-3</v>
      </c>
      <c r="F39" s="48">
        <f t="shared" si="3"/>
        <v>-2.377796830162913E-3</v>
      </c>
      <c r="G39" s="48">
        <f t="shared" si="4"/>
        <v>4.1875261897781804E-2</v>
      </c>
      <c r="H39" s="30">
        <f t="shared" si="5"/>
        <v>0</v>
      </c>
    </row>
    <row r="40" spans="2:8" x14ac:dyDescent="0.25">
      <c r="B40" s="26">
        <v>37</v>
      </c>
      <c r="C40" s="52">
        <f t="shared" si="0"/>
        <v>0.23293659142238254</v>
      </c>
      <c r="D40" s="52">
        <f t="shared" si="1"/>
        <v>0.23495243567481122</v>
      </c>
      <c r="E40" s="48">
        <f t="shared" si="2"/>
        <v>2.0158442524286779E-3</v>
      </c>
      <c r="F40" s="48">
        <f t="shared" si="3"/>
        <v>1.0105407847133523E-3</v>
      </c>
      <c r="G40" s="48">
        <f t="shared" si="4"/>
        <v>0.2339471322070959</v>
      </c>
      <c r="H40" s="30">
        <f t="shared" si="5"/>
        <v>0</v>
      </c>
    </row>
    <row r="41" spans="2:8" x14ac:dyDescent="0.25">
      <c r="B41" s="26">
        <v>38</v>
      </c>
      <c r="C41" s="52">
        <f t="shared" si="0"/>
        <v>4.4253058727944716E-2</v>
      </c>
      <c r="D41" s="52">
        <f t="shared" si="1"/>
        <v>3.9509788445304235E-2</v>
      </c>
      <c r="E41" s="48">
        <f t="shared" si="2"/>
        <v>-4.7432702826404813E-3</v>
      </c>
      <c r="F41" s="48">
        <f t="shared" si="3"/>
        <v>-2.377796830162913E-3</v>
      </c>
      <c r="G41" s="48">
        <f t="shared" si="4"/>
        <v>4.1875261897781804E-2</v>
      </c>
      <c r="H41" s="30">
        <f t="shared" si="5"/>
        <v>0</v>
      </c>
    </row>
    <row r="42" spans="2:8" x14ac:dyDescent="0.25">
      <c r="B42" s="26">
        <v>39</v>
      </c>
      <c r="C42" s="52">
        <f t="shared" si="0"/>
        <v>5.1366620792552581E-2</v>
      </c>
      <c r="D42" s="52">
        <f t="shared" si="1"/>
        <v>4.2850088405828553E-2</v>
      </c>
      <c r="E42" s="48">
        <f t="shared" si="2"/>
        <v>-8.5165323867240281E-3</v>
      </c>
      <c r="F42" s="48">
        <f t="shared" si="3"/>
        <v>-4.269329493460595E-3</v>
      </c>
      <c r="G42" s="48">
        <f t="shared" si="4"/>
        <v>4.7097291299091987E-2</v>
      </c>
      <c r="H42" s="30">
        <f t="shared" si="5"/>
        <v>0</v>
      </c>
    </row>
    <row r="43" spans="2:8" x14ac:dyDescent="0.25">
      <c r="B43" s="26">
        <v>40</v>
      </c>
      <c r="C43" s="52">
        <f t="shared" si="0"/>
        <v>4.4253058727944716E-2</v>
      </c>
      <c r="D43" s="52">
        <f t="shared" si="1"/>
        <v>3.9509788445304235E-2</v>
      </c>
      <c r="E43" s="48">
        <f t="shared" si="2"/>
        <v>-4.7432702826404813E-3</v>
      </c>
      <c r="F43" s="48">
        <f t="shared" si="3"/>
        <v>-2.377796830162913E-3</v>
      </c>
      <c r="G43" s="48">
        <f t="shared" si="4"/>
        <v>4.1875261897781804E-2</v>
      </c>
      <c r="H43" s="30">
        <f t="shared" si="5"/>
        <v>0</v>
      </c>
    </row>
    <row r="44" spans="2:8" x14ac:dyDescent="0.25">
      <c r="B44" s="26">
        <v>41</v>
      </c>
      <c r="C44" s="52">
        <f t="shared" si="0"/>
        <v>0.272856325769609</v>
      </c>
      <c r="D44" s="52">
        <f t="shared" si="1"/>
        <v>0.23528249165808171</v>
      </c>
      <c r="E44" s="48">
        <f t="shared" si="2"/>
        <v>-3.7573834111527288E-2</v>
      </c>
      <c r="F44" s="48">
        <f t="shared" si="3"/>
        <v>-1.8835726898050881E-2</v>
      </c>
      <c r="G44" s="48">
        <f t="shared" si="4"/>
        <v>0.25402059887155815</v>
      </c>
      <c r="H44" s="30">
        <f t="shared" si="5"/>
        <v>0</v>
      </c>
    </row>
    <row r="45" spans="2:8" x14ac:dyDescent="0.25">
      <c r="B45" s="26">
        <v>42</v>
      </c>
      <c r="C45" s="52">
        <f t="shared" si="0"/>
        <v>4.4253058727944716E-2</v>
      </c>
      <c r="D45" s="52">
        <f t="shared" si="1"/>
        <v>3.9509788445304235E-2</v>
      </c>
      <c r="E45" s="48">
        <f t="shared" si="2"/>
        <v>-4.7432702826404813E-3</v>
      </c>
      <c r="F45" s="48">
        <f t="shared" si="3"/>
        <v>-2.377796830162913E-3</v>
      </c>
      <c r="G45" s="48">
        <f t="shared" si="4"/>
        <v>4.1875261897781804E-2</v>
      </c>
      <c r="H45" s="30">
        <f t="shared" si="5"/>
        <v>0</v>
      </c>
    </row>
    <row r="46" spans="2:8" x14ac:dyDescent="0.25">
      <c r="B46" s="26">
        <v>43</v>
      </c>
      <c r="C46" s="52">
        <f t="shared" si="0"/>
        <v>0.18024721970812474</v>
      </c>
      <c r="D46" s="52">
        <f t="shared" si="1"/>
        <v>0.14969356494618877</v>
      </c>
      <c r="E46" s="48">
        <f t="shared" si="2"/>
        <v>-3.0553654761935972E-2</v>
      </c>
      <c r="F46" s="48">
        <f t="shared" si="3"/>
        <v>-1.5316517742771421E-2</v>
      </c>
      <c r="G46" s="48">
        <f t="shared" si="4"/>
        <v>0.16493070196535331</v>
      </c>
      <c r="H46" s="30">
        <f t="shared" si="5"/>
        <v>0</v>
      </c>
    </row>
    <row r="47" spans="2:8" x14ac:dyDescent="0.25">
      <c r="B47" s="26">
        <v>44</v>
      </c>
      <c r="C47" s="52">
        <f t="shared" si="0"/>
        <v>4.4253058727944716E-2</v>
      </c>
      <c r="D47" s="52">
        <f t="shared" si="1"/>
        <v>3.9509788445304235E-2</v>
      </c>
      <c r="E47" s="48">
        <f t="shared" si="2"/>
        <v>-4.7432702826404813E-3</v>
      </c>
      <c r="F47" s="48">
        <f t="shared" si="3"/>
        <v>-2.377796830162913E-3</v>
      </c>
      <c r="G47" s="48">
        <f t="shared" si="4"/>
        <v>4.1875261897781804E-2</v>
      </c>
      <c r="H47" s="30">
        <f t="shared" si="5"/>
        <v>0</v>
      </c>
    </row>
    <row r="48" spans="2:8" x14ac:dyDescent="0.25">
      <c r="B48" s="26">
        <v>45</v>
      </c>
      <c r="C48" s="52">
        <f t="shared" si="0"/>
        <v>4.4254803859095013E-2</v>
      </c>
      <c r="D48" s="52">
        <f t="shared" si="1"/>
        <v>3.9511622355493263E-2</v>
      </c>
      <c r="E48" s="48">
        <f t="shared" si="2"/>
        <v>-4.7431815036017497E-3</v>
      </c>
      <c r="F48" s="48">
        <f t="shared" si="3"/>
        <v>-2.3777523253161927E-3</v>
      </c>
      <c r="G48" s="48">
        <f t="shared" si="4"/>
        <v>4.1877051533778818E-2</v>
      </c>
      <c r="H48" s="30">
        <f t="shared" si="5"/>
        <v>0</v>
      </c>
    </row>
    <row r="49" spans="1:21" x14ac:dyDescent="0.25">
      <c r="B49" s="26">
        <v>46</v>
      </c>
      <c r="C49" s="52">
        <f t="shared" si="0"/>
        <v>4.4253058727944716E-2</v>
      </c>
      <c r="D49" s="52">
        <f t="shared" si="1"/>
        <v>3.9509788445304235E-2</v>
      </c>
      <c r="E49" s="48">
        <f t="shared" si="2"/>
        <v>-4.7432702826404813E-3</v>
      </c>
      <c r="F49" s="48">
        <f t="shared" si="3"/>
        <v>-2.377796830162913E-3</v>
      </c>
      <c r="G49" s="48">
        <f t="shared" si="4"/>
        <v>4.1875261897781804E-2</v>
      </c>
      <c r="H49" s="30">
        <f t="shared" si="5"/>
        <v>0</v>
      </c>
    </row>
    <row r="50" spans="1:21" x14ac:dyDescent="0.25">
      <c r="B50" s="26">
        <v>47</v>
      </c>
      <c r="C50" s="52">
        <f t="shared" si="0"/>
        <v>0.19038468562778788</v>
      </c>
      <c r="D50" s="52">
        <f t="shared" si="1"/>
        <v>0.18456070692514012</v>
      </c>
      <c r="E50" s="48">
        <f t="shared" si="2"/>
        <v>-5.823978702647753E-3</v>
      </c>
      <c r="F50" s="48">
        <f t="shared" si="3"/>
        <v>-2.9195549215852634E-3</v>
      </c>
      <c r="G50" s="48">
        <f t="shared" si="4"/>
        <v>0.1874651307062026</v>
      </c>
      <c r="H50" s="30">
        <f t="shared" si="5"/>
        <v>0</v>
      </c>
    </row>
    <row r="51" spans="1:21" x14ac:dyDescent="0.25">
      <c r="B51" s="26">
        <v>48</v>
      </c>
      <c r="C51" s="52">
        <f t="shared" si="0"/>
        <v>4.4253058727944716E-2</v>
      </c>
      <c r="D51" s="52">
        <f t="shared" si="1"/>
        <v>3.9509788445304235E-2</v>
      </c>
      <c r="E51" s="48">
        <f t="shared" si="2"/>
        <v>-4.7432702826404813E-3</v>
      </c>
      <c r="F51" s="48">
        <f t="shared" si="3"/>
        <v>-2.377796830162913E-3</v>
      </c>
      <c r="G51" s="48">
        <f t="shared" si="4"/>
        <v>4.1875261897781804E-2</v>
      </c>
      <c r="H51" s="30">
        <f t="shared" si="5"/>
        <v>0</v>
      </c>
    </row>
    <row r="52" spans="1:21" x14ac:dyDescent="0.25">
      <c r="B52" s="26">
        <v>49</v>
      </c>
      <c r="C52" s="52">
        <f t="shared" si="0"/>
        <v>0.11820986355275069</v>
      </c>
      <c r="D52" s="52">
        <f t="shared" si="1"/>
        <v>0.11324661442841535</v>
      </c>
      <c r="E52" s="48">
        <f t="shared" si="2"/>
        <v>-4.9632491243353366E-3</v>
      </c>
      <c r="F52" s="48">
        <f t="shared" si="3"/>
        <v>-2.4880720119081446E-3</v>
      </c>
      <c r="G52" s="48">
        <f t="shared" si="4"/>
        <v>0.11572179154084254</v>
      </c>
      <c r="H52" s="30">
        <f t="shared" si="5"/>
        <v>0</v>
      </c>
    </row>
    <row r="53" spans="1:21" x14ac:dyDescent="0.25">
      <c r="B53" s="26">
        <v>50</v>
      </c>
      <c r="C53" s="52">
        <f t="shared" si="0"/>
        <v>4.4253058727944716E-2</v>
      </c>
      <c r="D53" s="52">
        <f t="shared" si="1"/>
        <v>3.9509788445304235E-2</v>
      </c>
      <c r="E53" s="48">
        <f t="shared" si="2"/>
        <v>-4.7432702826404813E-3</v>
      </c>
      <c r="F53" s="48">
        <f t="shared" si="3"/>
        <v>-2.377796830162913E-3</v>
      </c>
      <c r="G53" s="48">
        <f t="shared" si="4"/>
        <v>4.1875261897781804E-2</v>
      </c>
      <c r="H53" s="30">
        <f t="shared" si="5"/>
        <v>0</v>
      </c>
    </row>
    <row r="54" spans="1:21" x14ac:dyDescent="0.25">
      <c r="C54" s="41"/>
      <c r="D54" s="41"/>
      <c r="E54" s="32"/>
      <c r="F54" s="32"/>
    </row>
    <row r="55" spans="1:21" x14ac:dyDescent="0.25">
      <c r="F55" s="26" t="s">
        <v>85</v>
      </c>
      <c r="G55" s="29">
        <f>IF(H4=0,0,100*H55/H4)</f>
        <v>0</v>
      </c>
      <c r="H55" s="29">
        <f>SQRT(SUMSQ(H5:H53))</f>
        <v>0</v>
      </c>
      <c r="I55" s="26" t="s">
        <v>52</v>
      </c>
    </row>
    <row r="56" spans="1:21" x14ac:dyDescent="0.25">
      <c r="F56" s="26" t="s">
        <v>86</v>
      </c>
      <c r="G56" s="29">
        <f>SQRT(SUMSQ(G4:G53))</f>
        <v>103.09625702624047</v>
      </c>
      <c r="H56" s="29">
        <f>SQRT(SUMSQ(H4:H53))</f>
        <v>0</v>
      </c>
      <c r="I56" s="26" t="s">
        <v>54</v>
      </c>
    </row>
    <row r="57" spans="1:21" x14ac:dyDescent="0.25">
      <c r="G57" s="26" t="s">
        <v>87</v>
      </c>
      <c r="H57" s="26" t="s">
        <v>13</v>
      </c>
    </row>
    <row r="59" spans="1:21" x14ac:dyDescent="0.25">
      <c r="A59" s="25" t="s">
        <v>63</v>
      </c>
      <c r="C59" s="36"/>
      <c r="D59" s="36"/>
      <c r="E59" s="36"/>
      <c r="F59" s="36"/>
      <c r="G59" s="36"/>
      <c r="H59" s="36"/>
      <c r="I59" s="36"/>
      <c r="J59" s="36"/>
      <c r="K59" s="36"/>
      <c r="L59" s="36"/>
      <c r="M59" s="36"/>
      <c r="N59" s="36"/>
      <c r="O59" s="36"/>
      <c r="P59" s="36"/>
      <c r="Q59" s="36"/>
      <c r="R59" s="36"/>
      <c r="S59" s="36"/>
    </row>
    <row r="60" spans="1:21" ht="14.4" x14ac:dyDescent="0.3">
      <c r="C60" s="1" t="s">
        <v>478</v>
      </c>
      <c r="D60" s="7">
        <f>100/D62</f>
        <v>1000</v>
      </c>
      <c r="E60" s="7">
        <f t="shared" ref="E60:U60" si="6">100/E62</f>
        <v>200</v>
      </c>
      <c r="F60" s="7">
        <f t="shared" si="6"/>
        <v>100</v>
      </c>
      <c r="G60" s="7">
        <f t="shared" si="6"/>
        <v>50</v>
      </c>
      <c r="H60" s="7">
        <f t="shared" si="6"/>
        <v>33.333333333333336</v>
      </c>
      <c r="I60" s="7">
        <f t="shared" si="6"/>
        <v>25</v>
      </c>
      <c r="J60" s="7">
        <f t="shared" si="6"/>
        <v>20</v>
      </c>
      <c r="K60" s="7">
        <f t="shared" si="6"/>
        <v>16.666666666666668</v>
      </c>
      <c r="L60" s="7">
        <f t="shared" si="6"/>
        <v>14.285714285714286</v>
      </c>
      <c r="M60" s="7">
        <f t="shared" si="6"/>
        <v>12.5</v>
      </c>
      <c r="N60" s="7">
        <f t="shared" si="6"/>
        <v>10</v>
      </c>
      <c r="O60" s="7">
        <f t="shared" si="6"/>
        <v>8.3333333333333339</v>
      </c>
      <c r="P60" s="7">
        <f t="shared" si="6"/>
        <v>7.1428571428571432</v>
      </c>
      <c r="Q60" s="7">
        <f t="shared" si="6"/>
        <v>5.5555555555555554</v>
      </c>
      <c r="R60" s="7">
        <f t="shared" si="6"/>
        <v>4.7619047619047619</v>
      </c>
      <c r="S60" s="7">
        <f t="shared" si="6"/>
        <v>1</v>
      </c>
      <c r="T60" s="7">
        <f t="shared" si="6"/>
        <v>0.1</v>
      </c>
      <c r="U60" s="7">
        <f t="shared" si="6"/>
        <v>0.01</v>
      </c>
    </row>
    <row r="61" spans="1:21" ht="14.4" x14ac:dyDescent="0.3">
      <c r="C61" s="1" t="s">
        <v>64</v>
      </c>
      <c r="D61">
        <v>0</v>
      </c>
      <c r="E61">
        <v>1</v>
      </c>
      <c r="F61">
        <v>2</v>
      </c>
      <c r="G61">
        <v>3</v>
      </c>
      <c r="H61">
        <v>4</v>
      </c>
      <c r="I61">
        <v>5</v>
      </c>
      <c r="J61">
        <v>6</v>
      </c>
      <c r="K61">
        <v>7</v>
      </c>
      <c r="L61">
        <v>8</v>
      </c>
      <c r="M61">
        <v>9</v>
      </c>
      <c r="N61">
        <v>10</v>
      </c>
      <c r="O61">
        <v>11</v>
      </c>
      <c r="P61">
        <v>12</v>
      </c>
      <c r="Q61">
        <v>13</v>
      </c>
      <c r="R61">
        <v>14</v>
      </c>
      <c r="S61">
        <v>15</v>
      </c>
      <c r="T61">
        <v>16</v>
      </c>
      <c r="U61">
        <v>17</v>
      </c>
    </row>
    <row r="62" spans="1:21" ht="14.4" x14ac:dyDescent="0.3">
      <c r="A62" s="26" t="s">
        <v>65</v>
      </c>
      <c r="B62" s="54"/>
      <c r="C62" s="216" t="s">
        <v>1</v>
      </c>
      <c r="D62" s="296">
        <v>0.1</v>
      </c>
      <c r="E62" s="296">
        <v>0.5</v>
      </c>
      <c r="F62" s="296">
        <v>1</v>
      </c>
      <c r="G62" s="296">
        <v>2</v>
      </c>
      <c r="H62" s="296">
        <v>3</v>
      </c>
      <c r="I62" s="296">
        <v>4</v>
      </c>
      <c r="J62" s="296">
        <v>5</v>
      </c>
      <c r="K62" s="296">
        <v>6</v>
      </c>
      <c r="L62" s="296">
        <v>7</v>
      </c>
      <c r="M62" s="296">
        <v>8</v>
      </c>
      <c r="N62" s="296">
        <v>10</v>
      </c>
      <c r="O62" s="296">
        <v>12</v>
      </c>
      <c r="P62" s="296">
        <v>14</v>
      </c>
      <c r="Q62" s="296">
        <v>18</v>
      </c>
      <c r="R62" s="296">
        <v>21</v>
      </c>
      <c r="S62" s="296">
        <v>100</v>
      </c>
      <c r="T62" s="296">
        <v>1000</v>
      </c>
      <c r="U62" s="296">
        <v>10000</v>
      </c>
    </row>
    <row r="63" spans="1:21" ht="14.4" x14ac:dyDescent="0.3">
      <c r="A63" s="31"/>
      <c r="C63" s="1" t="s">
        <v>64</v>
      </c>
      <c r="D63">
        <v>0</v>
      </c>
      <c r="E63">
        <v>1</v>
      </c>
      <c r="F63">
        <v>2</v>
      </c>
      <c r="G63">
        <v>3</v>
      </c>
      <c r="H63">
        <v>4</v>
      </c>
      <c r="I63">
        <v>5</v>
      </c>
      <c r="J63">
        <v>6</v>
      </c>
      <c r="K63">
        <v>7</v>
      </c>
      <c r="L63">
        <v>8</v>
      </c>
      <c r="M63">
        <v>9</v>
      </c>
      <c r="N63">
        <v>10</v>
      </c>
      <c r="O63">
        <v>11</v>
      </c>
      <c r="P63">
        <v>12</v>
      </c>
      <c r="Q63">
        <v>13</v>
      </c>
      <c r="R63">
        <v>14</v>
      </c>
      <c r="S63">
        <v>15</v>
      </c>
      <c r="T63">
        <v>16</v>
      </c>
      <c r="U63">
        <v>17</v>
      </c>
    </row>
    <row r="64" spans="1:21" ht="14.4" x14ac:dyDescent="0.3">
      <c r="A64" s="43">
        <v>2</v>
      </c>
      <c r="B64" s="43"/>
      <c r="C64" s="1"/>
      <c r="D64" s="298">
        <v>1.7291324964220301E-2</v>
      </c>
      <c r="E64" s="298">
        <v>6.6998018440489568E-2</v>
      </c>
      <c r="F64" s="298">
        <v>0.12416560747379798</v>
      </c>
      <c r="G64" s="298">
        <v>0.19164678959143519</v>
      </c>
      <c r="H64" s="298">
        <v>3.2432337711389723E-2</v>
      </c>
      <c r="I64" s="298">
        <v>2.6794917304969575E-2</v>
      </c>
      <c r="J64" s="298">
        <v>1.0787351058726545E-2</v>
      </c>
      <c r="K64" s="298">
        <v>1.5488830696511377E-2</v>
      </c>
      <c r="L64" s="298">
        <v>1.1120918013740941E-2</v>
      </c>
      <c r="M64" s="298">
        <v>1.2571907703050382E-2</v>
      </c>
      <c r="N64" s="298">
        <v>2.636287592484499E-2</v>
      </c>
      <c r="O64" s="298">
        <v>3.9068771982494086E-3</v>
      </c>
      <c r="P64" s="298">
        <v>1.783236037225493E-2</v>
      </c>
      <c r="Q64" s="298">
        <v>6.5715038062707058E-3</v>
      </c>
      <c r="R64" s="298">
        <v>5.7146036546192576E-3</v>
      </c>
      <c r="S64" s="298">
        <v>5.7146036546192576E-3</v>
      </c>
      <c r="T64" s="298">
        <v>5.7146036546192576E-3</v>
      </c>
      <c r="U64" s="298">
        <v>5.7146036546192576E-3</v>
      </c>
    </row>
    <row r="65" spans="1:21" ht="14.4" x14ac:dyDescent="0.3">
      <c r="A65" s="43">
        <v>3</v>
      </c>
      <c r="B65" s="43"/>
      <c r="C65" s="1"/>
      <c r="D65" s="298">
        <v>0.55385104430828935</v>
      </c>
      <c r="E65" s="298">
        <v>8.5473774716319078</v>
      </c>
      <c r="F65" s="298">
        <v>4.3857615521600959</v>
      </c>
      <c r="G65" s="298">
        <v>4.8916763402676038</v>
      </c>
      <c r="H65" s="298">
        <v>5.107248510230364</v>
      </c>
      <c r="I65" s="298">
        <v>6.2072885442798249</v>
      </c>
      <c r="J65" s="298">
        <v>7.7608557639223745</v>
      </c>
      <c r="K65" s="298">
        <v>5.1365577880102951</v>
      </c>
      <c r="L65" s="298">
        <v>3.7115343236794409</v>
      </c>
      <c r="M65" s="298">
        <v>2.8652501742303245</v>
      </c>
      <c r="N65" s="298">
        <v>1.976424393859703</v>
      </c>
      <c r="O65" s="298">
        <v>1.512989131711088</v>
      </c>
      <c r="P65" s="298">
        <v>1.2479844012146544</v>
      </c>
      <c r="Q65" s="298">
        <v>0.90186138282906037</v>
      </c>
      <c r="R65" s="298">
        <v>0.8611207071065603</v>
      </c>
      <c r="S65" s="298">
        <v>0.8611207071065603</v>
      </c>
      <c r="T65" s="298">
        <v>0.8611207071065603</v>
      </c>
      <c r="U65" s="298">
        <v>0.8611207071065603</v>
      </c>
    </row>
    <row r="66" spans="1:21" ht="14.4" x14ac:dyDescent="0.3">
      <c r="A66" s="43">
        <v>4</v>
      </c>
      <c r="B66" s="43"/>
      <c r="C66" s="1"/>
      <c r="D66" s="298">
        <v>0.13520250276733159</v>
      </c>
      <c r="E66" s="298">
        <v>2.8695360144102396E-2</v>
      </c>
      <c r="F66" s="298">
        <v>0.11237654569855723</v>
      </c>
      <c r="G66" s="298">
        <v>0.1270693443534559</v>
      </c>
      <c r="H66" s="298">
        <v>2.9673650735424224E-2</v>
      </c>
      <c r="I66" s="298">
        <v>2.1212221057019379E-2</v>
      </c>
      <c r="J66" s="298">
        <v>1.8916758051922035E-2</v>
      </c>
      <c r="K66" s="298">
        <v>2.4591818946340816E-2</v>
      </c>
      <c r="L66" s="298">
        <v>2.2309871990685983E-2</v>
      </c>
      <c r="M66" s="298">
        <v>1.4672119245636975E-2</v>
      </c>
      <c r="N66" s="298">
        <v>3.4977738354405041E-3</v>
      </c>
      <c r="O66" s="298">
        <v>3.318391374383355E-3</v>
      </c>
      <c r="P66" s="298">
        <v>1.8380050856337499E-2</v>
      </c>
      <c r="Q66" s="298">
        <v>5.7240454854559945E-3</v>
      </c>
      <c r="R66" s="298">
        <v>1.5847873572736098E-3</v>
      </c>
      <c r="S66" s="298">
        <v>1.5847873572736098E-3</v>
      </c>
      <c r="T66" s="298">
        <v>1.5847873572736098E-3</v>
      </c>
      <c r="U66" s="298">
        <v>1.5847873572736098E-3</v>
      </c>
    </row>
    <row r="67" spans="1:21" ht="14.4" x14ac:dyDescent="0.3">
      <c r="A67" s="43">
        <v>5</v>
      </c>
      <c r="B67" s="43"/>
      <c r="C67" s="1"/>
      <c r="D67" s="298">
        <v>93.368748010282204</v>
      </c>
      <c r="E67" s="298">
        <v>82.87682728374898</v>
      </c>
      <c r="F67" s="298">
        <v>73.247221838386295</v>
      </c>
      <c r="G67" s="298">
        <v>60.831459052554194</v>
      </c>
      <c r="H67" s="298">
        <v>49.382828970020235</v>
      </c>
      <c r="I67" s="298">
        <v>41.72752692184784</v>
      </c>
      <c r="J67" s="298">
        <v>37.27946499417164</v>
      </c>
      <c r="K67" s="298">
        <v>34.240442443062605</v>
      </c>
      <c r="L67" s="298">
        <v>31.801834469310585</v>
      </c>
      <c r="M67" s="298">
        <v>29.833911528390878</v>
      </c>
      <c r="N67" s="298">
        <v>26.829447444032468</v>
      </c>
      <c r="O67" s="298">
        <v>24.524377947577921</v>
      </c>
      <c r="P67" s="298">
        <v>22.666145948519805</v>
      </c>
      <c r="Q67" s="298">
        <v>19.683481307529799</v>
      </c>
      <c r="R67" s="298">
        <v>19.55420880107971</v>
      </c>
      <c r="S67" s="298">
        <v>19.55420880107971</v>
      </c>
      <c r="T67" s="298">
        <v>19.55420880107971</v>
      </c>
      <c r="U67" s="298">
        <v>19.55420880107971</v>
      </c>
    </row>
    <row r="68" spans="1:21" ht="14.4" x14ac:dyDescent="0.3">
      <c r="A68" s="43">
        <v>6</v>
      </c>
      <c r="B68" s="43"/>
      <c r="C68" s="1"/>
      <c r="D68" s="298">
        <v>6.8818496078623531E-2</v>
      </c>
      <c r="E68" s="298">
        <v>5.2936191485114158E-2</v>
      </c>
      <c r="F68" s="298">
        <v>7.0102641631974985E-3</v>
      </c>
      <c r="G68" s="298">
        <v>1.1862351899176933E-2</v>
      </c>
      <c r="H68" s="298">
        <v>1.9222702695116914E-3</v>
      </c>
      <c r="I68" s="298">
        <v>1.1087146410300954E-2</v>
      </c>
      <c r="J68" s="298">
        <v>6.7285132893848583E-3</v>
      </c>
      <c r="K68" s="298">
        <v>4.5194792975590103E-3</v>
      </c>
      <c r="L68" s="298">
        <v>6.0169639857389576E-3</v>
      </c>
      <c r="M68" s="298">
        <v>7.3330327729595772E-3</v>
      </c>
      <c r="N68" s="298">
        <v>4.9368015428742544E-3</v>
      </c>
      <c r="O68" s="298">
        <v>2.1005572354824645E-3</v>
      </c>
      <c r="P68" s="298">
        <v>9.2816222816082712E-3</v>
      </c>
      <c r="Q68" s="298">
        <v>3.8021989595571734E-3</v>
      </c>
      <c r="R68" s="298">
        <v>2.6949365909897677E-3</v>
      </c>
      <c r="S68" s="298">
        <v>2.6949365909897677E-3</v>
      </c>
      <c r="T68" s="298">
        <v>2.6949365909897677E-3</v>
      </c>
      <c r="U68" s="298">
        <v>2.6949365909897677E-3</v>
      </c>
    </row>
    <row r="69" spans="1:21" ht="14.4" x14ac:dyDescent="0.3">
      <c r="A69" s="43">
        <v>7</v>
      </c>
      <c r="B69" s="43"/>
      <c r="C69" s="1"/>
      <c r="D69" s="298">
        <v>85.792929223620419</v>
      </c>
      <c r="E69" s="298">
        <v>65.67536665068971</v>
      </c>
      <c r="F69" s="298">
        <v>52.471101352240538</v>
      </c>
      <c r="G69" s="298">
        <v>34.473926081721721</v>
      </c>
      <c r="H69" s="298">
        <v>20.70483242585701</v>
      </c>
      <c r="I69" s="298">
        <v>13.8859457017344</v>
      </c>
      <c r="J69" s="298">
        <v>10.407370469722119</v>
      </c>
      <c r="K69" s="298">
        <v>8.4234250472584673</v>
      </c>
      <c r="L69" s="298">
        <v>7.3447486655802345</v>
      </c>
      <c r="M69" s="298">
        <v>6.8022663683683335</v>
      </c>
      <c r="N69" s="298">
        <v>6.5166708279323533</v>
      </c>
      <c r="O69" s="298">
        <v>6.6273860488121423</v>
      </c>
      <c r="P69" s="298">
        <v>6.8022403042729351</v>
      </c>
      <c r="Q69" s="298">
        <v>6.987229811341364</v>
      </c>
      <c r="R69" s="298">
        <v>7.326010337515557</v>
      </c>
      <c r="S69" s="298">
        <v>7.326010337515557</v>
      </c>
      <c r="T69" s="298">
        <v>7.326010337515557</v>
      </c>
      <c r="U69" s="298">
        <v>7.326010337515557</v>
      </c>
    </row>
    <row r="70" spans="1:21" ht="14.4" x14ac:dyDescent="0.3">
      <c r="A70" s="43">
        <v>8</v>
      </c>
      <c r="B70" s="43"/>
      <c r="C70" s="1"/>
      <c r="D70" s="298">
        <v>0.15207091572872264</v>
      </c>
      <c r="E70" s="298">
        <v>5.2891824469196221E-2</v>
      </c>
      <c r="F70" s="298">
        <v>5.7040082585237739E-2</v>
      </c>
      <c r="G70" s="298">
        <v>1.9116049168177565E-2</v>
      </c>
      <c r="H70" s="298">
        <v>2.3564987660073828E-2</v>
      </c>
      <c r="I70" s="298">
        <v>8.5355102461392024E-3</v>
      </c>
      <c r="J70" s="298">
        <v>1.9603945043945102E-2</v>
      </c>
      <c r="K70" s="298">
        <v>1.2636657164619786E-2</v>
      </c>
      <c r="L70" s="298">
        <v>1.0643351525778579E-2</v>
      </c>
      <c r="M70" s="298">
        <v>4.3473848598230228E-3</v>
      </c>
      <c r="N70" s="298">
        <v>2.5415807506222721E-3</v>
      </c>
      <c r="O70" s="298">
        <v>1.2216655309818655E-3</v>
      </c>
      <c r="P70" s="298">
        <v>6.4595461603830819E-3</v>
      </c>
      <c r="Q70" s="298">
        <v>1.3983813924981661E-3</v>
      </c>
      <c r="R70" s="298">
        <v>3.4056178014729927E-3</v>
      </c>
      <c r="S70" s="298">
        <v>3.4056178014729927E-3</v>
      </c>
      <c r="T70" s="298">
        <v>3.4056178014729927E-3</v>
      </c>
      <c r="U70" s="298">
        <v>3.4056178014729927E-3</v>
      </c>
    </row>
    <row r="71" spans="1:21" ht="14.4" x14ac:dyDescent="0.3">
      <c r="A71" s="43">
        <v>9</v>
      </c>
      <c r="B71" s="43"/>
      <c r="C71" s="1"/>
      <c r="D71" s="298">
        <v>1.154353524821659</v>
      </c>
      <c r="E71" s="298">
        <v>3.5914593530271834</v>
      </c>
      <c r="F71" s="298">
        <v>0.66156600737101889</v>
      </c>
      <c r="G71" s="298">
        <v>0.60368769264829547</v>
      </c>
      <c r="H71" s="298">
        <v>0.42447764331950832</v>
      </c>
      <c r="I71" s="298">
        <v>1.0648962156533353</v>
      </c>
      <c r="J71" s="298">
        <v>1.5532650518305111</v>
      </c>
      <c r="K71" s="298">
        <v>0.98716445545758624</v>
      </c>
      <c r="L71" s="298">
        <v>0.68104076968532634</v>
      </c>
      <c r="M71" s="298">
        <v>0.50610374236669098</v>
      </c>
      <c r="N71" s="298">
        <v>0.31868142208094846</v>
      </c>
      <c r="O71" s="298">
        <v>0.22626624756676589</v>
      </c>
      <c r="P71" s="298">
        <v>0.1789795622711387</v>
      </c>
      <c r="Q71" s="298">
        <v>0.13966052871548112</v>
      </c>
      <c r="R71" s="298">
        <v>0.13247290047204982</v>
      </c>
      <c r="S71" s="298">
        <v>0.13247290047204982</v>
      </c>
      <c r="T71" s="298">
        <v>0.13247290047204982</v>
      </c>
      <c r="U71" s="298">
        <v>0.13247290047204982</v>
      </c>
    </row>
    <row r="72" spans="1:21" ht="14.4" x14ac:dyDescent="0.3">
      <c r="A72" s="43">
        <v>10</v>
      </c>
      <c r="B72" s="43"/>
      <c r="C72" s="1"/>
      <c r="D72" s="298">
        <v>0.2294007148283545</v>
      </c>
      <c r="E72" s="298">
        <v>4.67408371331944E-2</v>
      </c>
      <c r="F72" s="298">
        <v>3.9171017790739594E-2</v>
      </c>
      <c r="G72" s="298">
        <v>3.1896110289054799E-2</v>
      </c>
      <c r="H72" s="298">
        <v>9.7072760067846587E-3</v>
      </c>
      <c r="I72" s="298">
        <v>1.3760275349404955E-2</v>
      </c>
      <c r="J72" s="298">
        <v>1.2351163020258928E-2</v>
      </c>
      <c r="K72" s="298">
        <v>7.8770677291336265E-3</v>
      </c>
      <c r="L72" s="298">
        <v>6.6241460677741474E-3</v>
      </c>
      <c r="M72" s="298">
        <v>9.5446111698385379E-4</v>
      </c>
      <c r="N72" s="298">
        <v>5.9000829249238182E-3</v>
      </c>
      <c r="O72" s="298">
        <v>2.8410236973985879E-3</v>
      </c>
      <c r="P72" s="298">
        <v>3.0933034144878684E-3</v>
      </c>
      <c r="Q72" s="298">
        <v>1.7024651539385351E-3</v>
      </c>
      <c r="R72" s="298">
        <v>3.8405411483555876E-3</v>
      </c>
      <c r="S72" s="298">
        <v>3.8405411483555876E-3</v>
      </c>
      <c r="T72" s="298">
        <v>3.8405411483555876E-3</v>
      </c>
      <c r="U72" s="298">
        <v>3.8405411483555876E-3</v>
      </c>
    </row>
    <row r="73" spans="1:21" ht="14.4" x14ac:dyDescent="0.3">
      <c r="A73" s="43">
        <v>11</v>
      </c>
      <c r="B73" s="43"/>
      <c r="C73" s="1"/>
      <c r="D73" s="298">
        <v>69.048567707776243</v>
      </c>
      <c r="E73" s="298">
        <v>33.685348584817774</v>
      </c>
      <c r="F73" s="298">
        <v>15.583787301158949</v>
      </c>
      <c r="G73" s="298">
        <v>6.5636008603412694</v>
      </c>
      <c r="H73" s="298">
        <v>7.6797975872700235</v>
      </c>
      <c r="I73" s="298">
        <v>7.4570840283088478</v>
      </c>
      <c r="J73" s="298">
        <v>6.9055670232180777</v>
      </c>
      <c r="K73" s="298">
        <v>6.5341193000171698</v>
      </c>
      <c r="L73" s="298">
        <v>6.0786150094839924</v>
      </c>
      <c r="M73" s="298">
        <v>5.6151234987755405</v>
      </c>
      <c r="N73" s="298">
        <v>4.7731220793376856</v>
      </c>
      <c r="O73" s="298">
        <v>4.037747204995374</v>
      </c>
      <c r="P73" s="298">
        <v>3.4442053406397228</v>
      </c>
      <c r="Q73" s="298">
        <v>2.6571079286057731</v>
      </c>
      <c r="R73" s="298">
        <v>2.6319335627413896</v>
      </c>
      <c r="S73" s="298">
        <v>2.6319335627413896</v>
      </c>
      <c r="T73" s="298">
        <v>2.6319335627413896</v>
      </c>
      <c r="U73" s="298">
        <v>2.6319335627413896</v>
      </c>
    </row>
    <row r="74" spans="1:21" ht="14.4" x14ac:dyDescent="0.3">
      <c r="A74" s="43">
        <v>12</v>
      </c>
      <c r="B74" s="43"/>
      <c r="C74" s="1"/>
      <c r="D74" s="298">
        <v>4.3926126021925166E-2</v>
      </c>
      <c r="E74" s="298">
        <v>1.2877494467594758E-2</v>
      </c>
      <c r="F74" s="298">
        <v>4.5954157397374695E-3</v>
      </c>
      <c r="G74" s="298">
        <v>5.329225146697902E-3</v>
      </c>
      <c r="H74" s="298">
        <v>1.7455825337836627E-3</v>
      </c>
      <c r="I74" s="298">
        <v>6.1922252654432195E-3</v>
      </c>
      <c r="J74" s="298">
        <v>4.6340307760456886E-3</v>
      </c>
      <c r="K74" s="298">
        <v>1.2658928420938899E-3</v>
      </c>
      <c r="L74" s="298">
        <v>7.2345470714335765E-4</v>
      </c>
      <c r="M74" s="298">
        <v>2.8137542278655172E-3</v>
      </c>
      <c r="N74" s="298">
        <v>3.3387817150023614E-3</v>
      </c>
      <c r="O74" s="298">
        <v>7.0415228820549169E-4</v>
      </c>
      <c r="P74" s="298">
        <v>3.2866827675993235E-3</v>
      </c>
      <c r="Q74" s="298">
        <v>2.129932191298423E-3</v>
      </c>
      <c r="R74" s="298">
        <v>3.0726078205235829E-3</v>
      </c>
      <c r="S74" s="298">
        <v>3.0726078205235829E-3</v>
      </c>
      <c r="T74" s="298">
        <v>3.0726078205235829E-3</v>
      </c>
      <c r="U74" s="298">
        <v>3.0726078205235829E-3</v>
      </c>
    </row>
    <row r="75" spans="1:21" ht="14.4" x14ac:dyDescent="0.3">
      <c r="A75" s="43">
        <v>13</v>
      </c>
      <c r="B75" s="43"/>
      <c r="C75" s="1"/>
      <c r="D75" s="298">
        <v>57.626071680473594</v>
      </c>
      <c r="E75" s="298">
        <v>19.008833408591933</v>
      </c>
      <c r="F75" s="298">
        <v>6.0811074483745449</v>
      </c>
      <c r="G75" s="298">
        <v>6.4203508662030933</v>
      </c>
      <c r="H75" s="298">
        <v>4.053836065316168</v>
      </c>
      <c r="I75" s="298">
        <v>3.136813925533426</v>
      </c>
      <c r="J75" s="298">
        <v>3.2687886565984781</v>
      </c>
      <c r="K75" s="298">
        <v>3.1927019928471165</v>
      </c>
      <c r="L75" s="298">
        <v>3.1590323561450395</v>
      </c>
      <c r="M75" s="298">
        <v>3.1114405010378423</v>
      </c>
      <c r="N75" s="298">
        <v>2.9413990501469054</v>
      </c>
      <c r="O75" s="298">
        <v>2.6891381919916104</v>
      </c>
      <c r="P75" s="298">
        <v>2.4129113867682368</v>
      </c>
      <c r="Q75" s="298">
        <v>1.9019132140355048</v>
      </c>
      <c r="R75" s="298">
        <v>1.9731316672454773</v>
      </c>
      <c r="S75" s="298">
        <v>1.9731316672454773</v>
      </c>
      <c r="T75" s="298">
        <v>1.9731316672454773</v>
      </c>
      <c r="U75" s="298">
        <v>1.9731316672454773</v>
      </c>
    </row>
    <row r="76" spans="1:21" ht="14.4" x14ac:dyDescent="0.3">
      <c r="A76" s="43">
        <v>14</v>
      </c>
      <c r="B76" s="43"/>
      <c r="C76" s="1"/>
      <c r="D76" s="298">
        <v>0.20927403927484672</v>
      </c>
      <c r="E76" s="298">
        <v>5.5602611265487843E-2</v>
      </c>
      <c r="F76" s="298">
        <v>4.0150680983375708E-2</v>
      </c>
      <c r="G76" s="298">
        <v>1.1364022598705132E-2</v>
      </c>
      <c r="H76" s="298">
        <v>1.5808693433503308E-2</v>
      </c>
      <c r="I76" s="298">
        <v>1.1300571663228018E-2</v>
      </c>
      <c r="J76" s="298">
        <v>1.3986444352451872E-2</v>
      </c>
      <c r="K76" s="298">
        <v>1.3726550136797936E-2</v>
      </c>
      <c r="L76" s="298">
        <v>1.2922710779955417E-2</v>
      </c>
      <c r="M76" s="298">
        <v>6.7573395777536377E-3</v>
      </c>
      <c r="N76" s="298">
        <v>6.0541163970223889E-3</v>
      </c>
      <c r="O76" s="298">
        <v>8.8566143641728831E-4</v>
      </c>
      <c r="P76" s="298">
        <v>4.5856434142929501E-3</v>
      </c>
      <c r="Q76" s="298">
        <v>2.3769049086772155E-3</v>
      </c>
      <c r="R76" s="298">
        <v>2.1687917940923906E-3</v>
      </c>
      <c r="S76" s="298">
        <v>2.1687917940923906E-3</v>
      </c>
      <c r="T76" s="298">
        <v>2.1687917940923906E-3</v>
      </c>
      <c r="U76" s="298">
        <v>2.1687917940923906E-3</v>
      </c>
    </row>
    <row r="77" spans="1:21" ht="14.4" x14ac:dyDescent="0.3">
      <c r="A77" s="43">
        <v>15</v>
      </c>
      <c r="B77" s="43"/>
      <c r="C77" s="1"/>
      <c r="D77" s="298">
        <v>1.136851568371505</v>
      </c>
      <c r="E77" s="298">
        <v>0.23095610968918576</v>
      </c>
      <c r="F77" s="298">
        <v>0.45935010470309795</v>
      </c>
      <c r="G77" s="298">
        <v>0.33979479464125767</v>
      </c>
      <c r="H77" s="298">
        <v>0.19877874639876153</v>
      </c>
      <c r="I77" s="298">
        <v>0.6117370588990978</v>
      </c>
      <c r="J77" s="298">
        <v>0.7739736036483279</v>
      </c>
      <c r="K77" s="298">
        <v>0.47689818111624066</v>
      </c>
      <c r="L77" s="298">
        <v>0.32445444976062632</v>
      </c>
      <c r="M77" s="298">
        <v>0.24590737646040681</v>
      </c>
      <c r="N77" s="298">
        <v>0.17863761703347875</v>
      </c>
      <c r="O77" s="298">
        <v>0.15238590146764369</v>
      </c>
      <c r="P77" s="298">
        <v>0.13879587874692803</v>
      </c>
      <c r="Q77" s="298">
        <v>0.10849930149243135</v>
      </c>
      <c r="R77" s="298">
        <v>0.10438708261063094</v>
      </c>
      <c r="S77" s="298">
        <v>0.10438708261063094</v>
      </c>
      <c r="T77" s="298">
        <v>0.10438708261063094</v>
      </c>
      <c r="U77" s="298">
        <v>0.10438708261063094</v>
      </c>
    </row>
    <row r="78" spans="1:21" ht="14.4" x14ac:dyDescent="0.3">
      <c r="A78" s="43">
        <v>16</v>
      </c>
      <c r="B78" s="43"/>
      <c r="C78" s="1"/>
      <c r="D78" s="298">
        <v>0.21260480542905863</v>
      </c>
      <c r="E78" s="298">
        <v>5.5251059810874539E-2</v>
      </c>
      <c r="F78" s="298">
        <v>2.9549060045343564E-2</v>
      </c>
      <c r="G78" s="298">
        <v>1.9149260351853523E-2</v>
      </c>
      <c r="H78" s="298">
        <v>8.8894084206710914E-3</v>
      </c>
      <c r="I78" s="298">
        <v>9.8004503653837914E-3</v>
      </c>
      <c r="J78" s="298">
        <v>9.3355107602731344E-3</v>
      </c>
      <c r="K78" s="298">
        <v>1.1176506405604431E-2</v>
      </c>
      <c r="L78" s="298">
        <v>1.0797812516310075E-2</v>
      </c>
      <c r="M78" s="298">
        <v>4.9258459762198314E-3</v>
      </c>
      <c r="N78" s="298">
        <v>1.5412362332936629E-3</v>
      </c>
      <c r="O78" s="298">
        <v>1.7707278526791228E-3</v>
      </c>
      <c r="P78" s="298">
        <v>3.8905467511792919E-3</v>
      </c>
      <c r="Q78" s="298">
        <v>3.1270051788819786E-3</v>
      </c>
      <c r="R78" s="298">
        <v>2.7546885466757905E-3</v>
      </c>
      <c r="S78" s="298">
        <v>2.7546885466757905E-3</v>
      </c>
      <c r="T78" s="298">
        <v>2.7546885466757905E-3</v>
      </c>
      <c r="U78" s="298">
        <v>2.7546885466757905E-3</v>
      </c>
    </row>
    <row r="79" spans="1:21" ht="14.4" x14ac:dyDescent="0.3">
      <c r="A79" s="43">
        <v>17</v>
      </c>
      <c r="B79" s="43"/>
      <c r="C79" s="1"/>
      <c r="D79" s="299">
        <v>38.305868434141544</v>
      </c>
      <c r="E79" s="298">
        <v>5.2999903687276673</v>
      </c>
      <c r="F79" s="298">
        <v>6.2578007441416821</v>
      </c>
      <c r="G79" s="299">
        <v>3.651615692351549</v>
      </c>
      <c r="H79" s="299">
        <v>3.9361368606820331</v>
      </c>
      <c r="I79" s="299">
        <v>3.5365888642625669</v>
      </c>
      <c r="J79" s="298">
        <v>2.7954962272937816</v>
      </c>
      <c r="K79" s="298">
        <v>2.4617473384512585</v>
      </c>
      <c r="L79" s="298">
        <v>2.1281057585635259</v>
      </c>
      <c r="M79" s="298">
        <v>1.850567348179557</v>
      </c>
      <c r="N79" s="299">
        <v>1.5324828885585096</v>
      </c>
      <c r="O79" s="298">
        <v>1.4251739565426205</v>
      </c>
      <c r="P79" s="298">
        <v>1.4117622874341469</v>
      </c>
      <c r="Q79" s="298">
        <v>1.3485789449567889</v>
      </c>
      <c r="R79" s="298">
        <v>1.3516864824509252</v>
      </c>
      <c r="S79" s="298">
        <v>1.3516864824509252</v>
      </c>
      <c r="T79" s="298">
        <v>1.3516864824509252</v>
      </c>
      <c r="U79" s="298">
        <v>1.3516864824509252</v>
      </c>
    </row>
    <row r="80" spans="1:21" ht="14.4" x14ac:dyDescent="0.3">
      <c r="A80" s="43">
        <v>18</v>
      </c>
      <c r="B80" s="43"/>
      <c r="C80" s="1"/>
      <c r="D80" s="298">
        <v>6.8073317161051342E-3</v>
      </c>
      <c r="E80" s="298">
        <v>4.4855023970696963E-3</v>
      </c>
      <c r="F80" s="298">
        <v>3.7080452251308581E-3</v>
      </c>
      <c r="G80" s="298">
        <v>4.1891794258732719E-3</v>
      </c>
      <c r="H80" s="298">
        <v>2.5800652861531514E-3</v>
      </c>
      <c r="I80" s="298">
        <v>5.1323452366736095E-3</v>
      </c>
      <c r="J80" s="298">
        <v>3.2624660891922676E-3</v>
      </c>
      <c r="K80" s="298">
        <v>9.7248963017647263E-4</v>
      </c>
      <c r="L80" s="298">
        <v>5.3824967182370125E-4</v>
      </c>
      <c r="M80" s="298">
        <v>3.4207800467921257E-3</v>
      </c>
      <c r="N80" s="298">
        <v>2.3022193218101682E-3</v>
      </c>
      <c r="O80" s="298">
        <v>7.1766985210155283E-4</v>
      </c>
      <c r="P80" s="298">
        <v>1.6747979107749516E-3</v>
      </c>
      <c r="Q80" s="298">
        <v>1.0243399597807483E-3</v>
      </c>
      <c r="R80" s="298">
        <v>2.7645882744071495E-3</v>
      </c>
      <c r="S80" s="298">
        <v>2.7645882744071495E-3</v>
      </c>
      <c r="T80" s="298">
        <v>2.7645882744071495E-3</v>
      </c>
      <c r="U80" s="298">
        <v>2.7645882744071495E-3</v>
      </c>
    </row>
    <row r="81" spans="1:21" ht="14.4" x14ac:dyDescent="0.3">
      <c r="A81" s="43">
        <v>19</v>
      </c>
      <c r="B81" s="43"/>
      <c r="C81" s="1"/>
      <c r="D81" s="298">
        <v>28.12675018493254</v>
      </c>
      <c r="E81" s="298">
        <v>5.7694235730205383</v>
      </c>
      <c r="F81" s="298">
        <v>4.4923444139523241</v>
      </c>
      <c r="G81" s="298">
        <v>2.461818140179882</v>
      </c>
      <c r="H81" s="298">
        <v>1.5612033953483941</v>
      </c>
      <c r="I81" s="298">
        <v>1.435344927819425</v>
      </c>
      <c r="J81" s="298">
        <v>1.8152549557696753</v>
      </c>
      <c r="K81" s="298">
        <v>1.7533389509717254</v>
      </c>
      <c r="L81" s="298">
        <v>1.6441205577377018</v>
      </c>
      <c r="M81" s="298">
        <v>1.5015094716885002</v>
      </c>
      <c r="N81" s="298">
        <v>1.1978760529333901</v>
      </c>
      <c r="O81" s="298">
        <v>0.96493434637770215</v>
      </c>
      <c r="P81" s="298">
        <v>0.86230538911097832</v>
      </c>
      <c r="Q81" s="298">
        <v>0.87143134542122158</v>
      </c>
      <c r="R81" s="298">
        <v>0.89423887387252965</v>
      </c>
      <c r="S81" s="298">
        <v>0.89423887387252965</v>
      </c>
      <c r="T81" s="298">
        <v>0.89423887387252965</v>
      </c>
      <c r="U81" s="298">
        <v>0.89423887387252965</v>
      </c>
    </row>
    <row r="82" spans="1:21" ht="14.4" x14ac:dyDescent="0.3">
      <c r="A82" s="43">
        <v>20</v>
      </c>
      <c r="B82" s="43"/>
      <c r="C82" s="1"/>
      <c r="D82" s="298">
        <v>0.16228025606892954</v>
      </c>
      <c r="E82" s="298">
        <v>3.4304595434386999E-2</v>
      </c>
      <c r="F82" s="298">
        <v>3.603503131369204E-2</v>
      </c>
      <c r="G82" s="298">
        <v>1.3414457398225953E-2</v>
      </c>
      <c r="H82" s="298">
        <v>1.3820648138552563E-2</v>
      </c>
      <c r="I82" s="298">
        <v>1.2553645285502412E-2</v>
      </c>
      <c r="J82" s="298">
        <v>1.1519216055600136E-2</v>
      </c>
      <c r="K82" s="298">
        <v>1.2482583619361326E-2</v>
      </c>
      <c r="L82" s="298">
        <v>1.0659586926913772E-2</v>
      </c>
      <c r="M82" s="298">
        <v>3.9990621565117561E-3</v>
      </c>
      <c r="N82" s="298">
        <v>4.289924599988241E-3</v>
      </c>
      <c r="O82" s="298">
        <v>2.3631359410929234E-3</v>
      </c>
      <c r="P82" s="298">
        <v>2.0372139828744758E-3</v>
      </c>
      <c r="Q82" s="298">
        <v>2.6099379219788315E-3</v>
      </c>
      <c r="R82" s="298">
        <v>3.3164014470484933E-3</v>
      </c>
      <c r="S82" s="298">
        <v>3.3164014470484933E-3</v>
      </c>
      <c r="T82" s="298">
        <v>3.3164014470484933E-3</v>
      </c>
      <c r="U82" s="298">
        <v>3.3164014470484933E-3</v>
      </c>
    </row>
    <row r="83" spans="1:21" ht="14.4" x14ac:dyDescent="0.3">
      <c r="A83" s="43">
        <v>21</v>
      </c>
      <c r="B83" s="43"/>
      <c r="C83" s="1"/>
      <c r="D83" s="298">
        <v>0.62329316321319206</v>
      </c>
      <c r="E83" s="298">
        <v>0.38652912360520963</v>
      </c>
      <c r="F83" s="298">
        <v>0.28848587809075404</v>
      </c>
      <c r="G83" s="298">
        <v>0.2327624797312611</v>
      </c>
      <c r="H83" s="298">
        <v>0.12695962714013889</v>
      </c>
      <c r="I83" s="298">
        <v>0.43156831387325317</v>
      </c>
      <c r="J83" s="298">
        <v>0.51232861946084751</v>
      </c>
      <c r="K83" s="298">
        <v>0.33639919482821595</v>
      </c>
      <c r="L83" s="298">
        <v>0.24976274080004948</v>
      </c>
      <c r="M83" s="298">
        <v>0.20143664947276263</v>
      </c>
      <c r="N83" s="298">
        <v>0.14886071320433725</v>
      </c>
      <c r="O83" s="298">
        <v>0.11057082122039739</v>
      </c>
      <c r="P83" s="298">
        <v>8.69095877563483E-2</v>
      </c>
      <c r="Q83" s="298">
        <v>6.469840401868561E-2</v>
      </c>
      <c r="R83" s="298">
        <v>6.207334554446476E-2</v>
      </c>
      <c r="S83" s="298">
        <v>6.207334554446476E-2</v>
      </c>
      <c r="T83" s="298">
        <v>6.207334554446476E-2</v>
      </c>
      <c r="U83" s="298">
        <v>6.207334554446476E-2</v>
      </c>
    </row>
    <row r="84" spans="1:21" ht="14.4" x14ac:dyDescent="0.3">
      <c r="A84" s="43">
        <v>22</v>
      </c>
      <c r="B84" s="43"/>
      <c r="C84" s="1"/>
      <c r="D84" s="298">
        <v>0.10196628651957353</v>
      </c>
      <c r="E84" s="298">
        <v>3.8702088424270906E-2</v>
      </c>
      <c r="F84" s="298">
        <v>3.2940823141321553E-2</v>
      </c>
      <c r="G84" s="298">
        <v>1.4397088226243407E-2</v>
      </c>
      <c r="H84" s="298">
        <v>8.0433131135157904E-3</v>
      </c>
      <c r="I84" s="298">
        <v>9.1411482785596215E-3</v>
      </c>
      <c r="J84" s="298">
        <v>1.3328297513609087E-2</v>
      </c>
      <c r="K84" s="298">
        <v>9.9334339431091864E-3</v>
      </c>
      <c r="L84" s="298">
        <v>8.7776949548354632E-3</v>
      </c>
      <c r="M84" s="298">
        <v>2.8422690440152187E-3</v>
      </c>
      <c r="N84" s="298">
        <v>1.7693174251628295E-3</v>
      </c>
      <c r="O84" s="298">
        <v>2.3683965026528521E-3</v>
      </c>
      <c r="P84" s="298">
        <v>2.2687748359132434E-3</v>
      </c>
      <c r="Q84" s="298">
        <v>3.2956893394252857E-3</v>
      </c>
      <c r="R84" s="298">
        <v>3.1845733198832878E-3</v>
      </c>
      <c r="S84" s="298">
        <v>3.1845733198832878E-3</v>
      </c>
      <c r="T84" s="298">
        <v>3.1845733198832878E-3</v>
      </c>
      <c r="U84" s="298">
        <v>3.1845733198832878E-3</v>
      </c>
    </row>
    <row r="85" spans="1:21" ht="14.4" x14ac:dyDescent="0.3">
      <c r="A85" s="43">
        <v>23</v>
      </c>
      <c r="B85" s="43"/>
      <c r="C85" s="1"/>
      <c r="D85" s="298">
        <v>14.111336248333169</v>
      </c>
      <c r="E85" s="298">
        <v>4.5502762773923147</v>
      </c>
      <c r="F85" s="298">
        <v>2.8173069900787024</v>
      </c>
      <c r="G85" s="298">
        <v>2.0670952688936821</v>
      </c>
      <c r="H85" s="298">
        <v>2.2928087910650583</v>
      </c>
      <c r="I85" s="298">
        <v>1.9472020944612196</v>
      </c>
      <c r="J85" s="298">
        <v>1.3645089433593613</v>
      </c>
      <c r="K85" s="298">
        <v>1.1709027163413299</v>
      </c>
      <c r="L85" s="298">
        <v>1.0449622436221531</v>
      </c>
      <c r="M85" s="298">
        <v>0.98668776275695924</v>
      </c>
      <c r="N85" s="298">
        <v>0.97151910927620677</v>
      </c>
      <c r="O85" s="298">
        <v>0.91499109629030073</v>
      </c>
      <c r="P85" s="298">
        <v>0.81941237005377587</v>
      </c>
      <c r="Q85" s="298">
        <v>0.64151011524075341</v>
      </c>
      <c r="R85" s="298">
        <v>0.64347399672352978</v>
      </c>
      <c r="S85" s="298">
        <v>0.64347399672352978</v>
      </c>
      <c r="T85" s="298">
        <v>0.64347399672352978</v>
      </c>
      <c r="U85" s="298">
        <v>0.64347399672352978</v>
      </c>
    </row>
    <row r="86" spans="1:21" ht="14.4" x14ac:dyDescent="0.3">
      <c r="A86" s="43">
        <v>24</v>
      </c>
      <c r="B86" s="43"/>
      <c r="C86" s="1"/>
      <c r="D86" s="298">
        <v>3.6824454901743818E-2</v>
      </c>
      <c r="E86" s="298">
        <v>9.8382681602157043E-3</v>
      </c>
      <c r="F86" s="298">
        <v>2.4869442257516557E-3</v>
      </c>
      <c r="G86" s="298">
        <v>3.7823320015961076E-3</v>
      </c>
      <c r="H86" s="298">
        <v>3.0035667733548503E-3</v>
      </c>
      <c r="I86" s="298">
        <v>5.3235417328994826E-3</v>
      </c>
      <c r="J86" s="298">
        <v>5.8116700278296428E-3</v>
      </c>
      <c r="K86" s="298">
        <v>2.9855222275943743E-3</v>
      </c>
      <c r="L86" s="298">
        <v>2.3272957918215429E-3</v>
      </c>
      <c r="M86" s="298">
        <v>3.1075268606800422E-3</v>
      </c>
      <c r="N86" s="298">
        <v>1.6642059470906843E-3</v>
      </c>
      <c r="O86" s="298">
        <v>5.0465814106315395E-4</v>
      </c>
      <c r="P86" s="298">
        <v>2.4652728971896356E-3</v>
      </c>
      <c r="Q86" s="298">
        <v>5.6815989694872823E-4</v>
      </c>
      <c r="R86" s="298">
        <v>2.910084521893625E-3</v>
      </c>
      <c r="S86" s="298">
        <v>2.910084521893625E-3</v>
      </c>
      <c r="T86" s="298">
        <v>2.910084521893625E-3</v>
      </c>
      <c r="U86" s="298">
        <v>2.910084521893625E-3</v>
      </c>
    </row>
    <row r="87" spans="1:21" ht="14.4" x14ac:dyDescent="0.3">
      <c r="A87" s="43">
        <v>25</v>
      </c>
      <c r="B87" s="43"/>
      <c r="C87" s="1"/>
      <c r="D87" s="298">
        <v>9.1460847189836905</v>
      </c>
      <c r="E87" s="298">
        <v>3.3287755929835949</v>
      </c>
      <c r="F87" s="298">
        <v>2.4769082641614584</v>
      </c>
      <c r="G87" s="298">
        <v>1.4065816239828657</v>
      </c>
      <c r="H87" s="298">
        <v>0.9812541545579192</v>
      </c>
      <c r="I87" s="298">
        <v>0.87516515937476913</v>
      </c>
      <c r="J87" s="298">
        <v>1.0203047520164361</v>
      </c>
      <c r="K87" s="298">
        <v>0.89181945133108653</v>
      </c>
      <c r="L87" s="298">
        <v>0.77335390981045959</v>
      </c>
      <c r="M87" s="298">
        <v>0.680943962179267</v>
      </c>
      <c r="N87" s="298">
        <v>0.60410783726699213</v>
      </c>
      <c r="O87" s="298">
        <v>0.59625159344747769</v>
      </c>
      <c r="P87" s="298">
        <v>0.57911197721694829</v>
      </c>
      <c r="Q87" s="298">
        <v>0.47588131924725879</v>
      </c>
      <c r="R87" s="298">
        <v>0.48332856078705327</v>
      </c>
      <c r="S87" s="298">
        <v>0.48332856078705327</v>
      </c>
      <c r="T87" s="298">
        <v>0.48332856078705327</v>
      </c>
      <c r="U87" s="298">
        <v>0.48332856078705327</v>
      </c>
    </row>
    <row r="88" spans="1:21" ht="14.4" x14ac:dyDescent="0.3">
      <c r="A88" s="43">
        <v>26</v>
      </c>
      <c r="B88" s="43"/>
      <c r="C88" s="1"/>
      <c r="D88" s="298">
        <v>5.0821504219815294E-2</v>
      </c>
      <c r="E88" s="298">
        <v>5.5062549483802257E-2</v>
      </c>
      <c r="F88" s="298">
        <v>2.6569838221547654E-2</v>
      </c>
      <c r="G88" s="298">
        <v>1.7180710354120391E-2</v>
      </c>
      <c r="H88" s="298">
        <v>1.4413765296386657E-2</v>
      </c>
      <c r="I88" s="298">
        <v>1.340051166752103E-2</v>
      </c>
      <c r="J88" s="298">
        <v>1.2261667576280695E-2</v>
      </c>
      <c r="K88" s="298">
        <v>1.1494261330574136E-2</v>
      </c>
      <c r="L88" s="298">
        <v>1.1502164549246671E-2</v>
      </c>
      <c r="M88" s="298">
        <v>6.3586835670058186E-3</v>
      </c>
      <c r="N88" s="298">
        <v>5.7283366829020497E-3</v>
      </c>
      <c r="O88" s="298">
        <v>1.4156391535011382E-3</v>
      </c>
      <c r="P88" s="298">
        <v>2.35923526977449E-3</v>
      </c>
      <c r="Q88" s="298">
        <v>3.048115692564884E-3</v>
      </c>
      <c r="R88" s="298">
        <v>2.505817916151253E-3</v>
      </c>
      <c r="S88" s="298">
        <v>2.505817916151253E-3</v>
      </c>
      <c r="T88" s="298">
        <v>2.505817916151253E-3</v>
      </c>
      <c r="U88" s="298">
        <v>2.505817916151253E-3</v>
      </c>
    </row>
    <row r="89" spans="1:21" ht="14.4" x14ac:dyDescent="0.3">
      <c r="A89" s="43">
        <v>27</v>
      </c>
      <c r="B89" s="43"/>
      <c r="C89" s="1"/>
      <c r="D89" s="298">
        <v>0.21238680360962095</v>
      </c>
      <c r="E89" s="298">
        <v>0.25707405179893289</v>
      </c>
      <c r="F89" s="298">
        <v>0.16073741316951387</v>
      </c>
      <c r="G89" s="298">
        <v>0.17380962651022741</v>
      </c>
      <c r="H89" s="298">
        <v>9.1193806224074303E-2</v>
      </c>
      <c r="I89" s="298">
        <v>0.33088372878460953</v>
      </c>
      <c r="J89" s="298">
        <v>0.40809218499146371</v>
      </c>
      <c r="K89" s="298">
        <v>0.28326195110267732</v>
      </c>
      <c r="L89" s="298">
        <v>0.20563582476045428</v>
      </c>
      <c r="M89" s="298">
        <v>0.15760505021576746</v>
      </c>
      <c r="N89" s="298">
        <v>9.9377043514666238E-2</v>
      </c>
      <c r="O89" s="298">
        <v>7.5391622206023953E-2</v>
      </c>
      <c r="P89" s="298">
        <v>6.8011485955306775E-2</v>
      </c>
      <c r="Q89" s="298">
        <v>5.56664765461901E-2</v>
      </c>
      <c r="R89" s="298">
        <v>5.3354821022066533E-2</v>
      </c>
      <c r="S89" s="298">
        <v>5.3354821022066533E-2</v>
      </c>
      <c r="T89" s="298">
        <v>5.3354821022066533E-2</v>
      </c>
      <c r="U89" s="298">
        <v>5.3354821022066533E-2</v>
      </c>
    </row>
    <row r="90" spans="1:21" ht="14.4" x14ac:dyDescent="0.3">
      <c r="A90" s="43">
        <v>28</v>
      </c>
      <c r="B90" s="43"/>
      <c r="C90" s="1"/>
      <c r="D90" s="298">
        <v>1.9392625777396737E-2</v>
      </c>
      <c r="E90" s="298">
        <v>4.7102518518670457E-2</v>
      </c>
      <c r="F90" s="298">
        <v>2.8971418661601897E-2</v>
      </c>
      <c r="G90" s="298">
        <v>1.1872541264805246E-2</v>
      </c>
      <c r="H90" s="298">
        <v>6.9611130983163278E-3</v>
      </c>
      <c r="I90" s="298">
        <v>8.5362681900183323E-3</v>
      </c>
      <c r="J90" s="298">
        <v>1.2556658041302614E-2</v>
      </c>
      <c r="K90" s="298">
        <v>1.0537656791068419E-2</v>
      </c>
      <c r="L90" s="298">
        <v>9.2930775732190107E-3</v>
      </c>
      <c r="M90" s="298">
        <v>3.3090135809581808E-3</v>
      </c>
      <c r="N90" s="298">
        <v>8.4429509332862738E-4</v>
      </c>
      <c r="O90" s="298">
        <v>1.7536756837702497E-3</v>
      </c>
      <c r="P90" s="298">
        <v>1.2486380283558422E-3</v>
      </c>
      <c r="Q90" s="298">
        <v>3.2293207653354824E-3</v>
      </c>
      <c r="R90" s="298">
        <v>2.7333925969108054E-3</v>
      </c>
      <c r="S90" s="298">
        <v>2.7333925969108054E-3</v>
      </c>
      <c r="T90" s="298">
        <v>2.7333925969108054E-3</v>
      </c>
      <c r="U90" s="298">
        <v>2.7333925969108054E-3</v>
      </c>
    </row>
    <row r="91" spans="1:21" ht="14.4" x14ac:dyDescent="0.3">
      <c r="A91" s="43">
        <v>29</v>
      </c>
      <c r="B91" s="43"/>
      <c r="C91" s="1"/>
      <c r="D91" s="298">
        <v>6.5146861253923207</v>
      </c>
      <c r="E91" s="298">
        <v>2.6788137999966111</v>
      </c>
      <c r="F91" s="298">
        <v>1.6106667515221753</v>
      </c>
      <c r="G91" s="298">
        <v>1.3975423047728013</v>
      </c>
      <c r="H91" s="298">
        <v>1.3999934630363924</v>
      </c>
      <c r="I91" s="298">
        <v>1.0907850218496227</v>
      </c>
      <c r="J91" s="298">
        <v>0.75870567381450926</v>
      </c>
      <c r="K91" s="298">
        <v>0.75678843679568575</v>
      </c>
      <c r="L91" s="298">
        <v>0.75575983296320848</v>
      </c>
      <c r="M91" s="298">
        <v>0.72478506133268517</v>
      </c>
      <c r="N91" s="298">
        <v>0.61840577400138186</v>
      </c>
      <c r="O91" s="298">
        <v>0.50578743449988961</v>
      </c>
      <c r="P91" s="298">
        <v>0.46727025134098182</v>
      </c>
      <c r="Q91" s="298">
        <v>0.45386743782930422</v>
      </c>
      <c r="R91" s="298">
        <v>0.4514293951690499</v>
      </c>
      <c r="S91" s="298">
        <v>0.4514293951690499</v>
      </c>
      <c r="T91" s="298">
        <v>0.4514293951690499</v>
      </c>
      <c r="U91" s="298">
        <v>0.4514293951690499</v>
      </c>
    </row>
    <row r="92" spans="1:21" ht="14.4" x14ac:dyDescent="0.3">
      <c r="A92" s="43">
        <v>30</v>
      </c>
      <c r="B92" s="43"/>
      <c r="C92" s="1"/>
      <c r="D92" s="298">
        <v>3.4884370898550648E-2</v>
      </c>
      <c r="E92" s="298">
        <v>4.1765772225850796E-3</v>
      </c>
      <c r="F92" s="298">
        <v>3.1945642193693534E-3</v>
      </c>
      <c r="G92" s="298">
        <v>3.60287707209932E-3</v>
      </c>
      <c r="H92" s="298">
        <v>3.2920300374340902E-3</v>
      </c>
      <c r="I92" s="298">
        <v>5.0314868423076246E-3</v>
      </c>
      <c r="J92" s="298">
        <v>4.6053075814346854E-3</v>
      </c>
      <c r="K92" s="298">
        <v>3.6991571943863818E-3</v>
      </c>
      <c r="L92" s="298">
        <v>1.9564019833816105E-3</v>
      </c>
      <c r="M92" s="298">
        <v>2.8717553777810353E-3</v>
      </c>
      <c r="N92" s="298">
        <v>2.6821760992090326E-3</v>
      </c>
      <c r="O92" s="298">
        <v>5.3985110846739104E-4</v>
      </c>
      <c r="P92" s="298">
        <v>8.6189772740157076E-4</v>
      </c>
      <c r="Q92" s="298">
        <v>7.0587971191137216E-4</v>
      </c>
      <c r="R92" s="298">
        <v>2.5967183728580682E-3</v>
      </c>
      <c r="S92" s="298">
        <v>2.5967183728580682E-3</v>
      </c>
      <c r="T92" s="298">
        <v>2.5967183728580682E-3</v>
      </c>
      <c r="U92" s="298">
        <v>2.5967183728580682E-3</v>
      </c>
    </row>
    <row r="93" spans="1:21" ht="14.4" x14ac:dyDescent="0.3">
      <c r="A93" s="43">
        <v>31</v>
      </c>
      <c r="B93" s="43"/>
      <c r="C93" s="1"/>
      <c r="D93" s="298">
        <v>6.3339107327432735</v>
      </c>
      <c r="E93" s="298">
        <v>2.4858685050570775</v>
      </c>
      <c r="F93" s="298">
        <v>1.4322222537619056</v>
      </c>
      <c r="G93" s="298">
        <v>0.82280279165842463</v>
      </c>
      <c r="H93" s="298">
        <v>0.68512353629472578</v>
      </c>
      <c r="I93" s="298">
        <v>0.58112005814292844</v>
      </c>
      <c r="J93" s="298">
        <v>0.56772740214173922</v>
      </c>
      <c r="K93" s="298">
        <v>0.46221863452787271</v>
      </c>
      <c r="L93" s="298">
        <v>0.42486576546865334</v>
      </c>
      <c r="M93" s="298">
        <v>0.43056874893088998</v>
      </c>
      <c r="N93" s="298">
        <v>0.43268010175951643</v>
      </c>
      <c r="O93" s="298">
        <v>0.37617527613812002</v>
      </c>
      <c r="P93" s="298">
        <v>0.31678577460681751</v>
      </c>
      <c r="Q93" s="298">
        <v>0.30877008317967913</v>
      </c>
      <c r="R93" s="298">
        <v>0.3120658886678041</v>
      </c>
      <c r="S93" s="298">
        <v>0.3120658886678041</v>
      </c>
      <c r="T93" s="298">
        <v>0.3120658886678041</v>
      </c>
      <c r="U93" s="298">
        <v>0.3120658886678041</v>
      </c>
    </row>
    <row r="94" spans="1:21" ht="14.4" x14ac:dyDescent="0.3">
      <c r="A94" s="43">
        <v>32</v>
      </c>
      <c r="B94" s="43"/>
      <c r="C94" s="1"/>
      <c r="D94" s="298">
        <v>4.6506205535545839E-2</v>
      </c>
      <c r="E94" s="298">
        <v>3.3260518350729629E-2</v>
      </c>
      <c r="F94" s="298">
        <v>2.9586195514357663E-2</v>
      </c>
      <c r="G94" s="298">
        <v>1.9535797704362808E-2</v>
      </c>
      <c r="H94" s="298">
        <v>1.4563606306652922E-2</v>
      </c>
      <c r="I94" s="298">
        <v>1.305927336868163E-2</v>
      </c>
      <c r="J94" s="298">
        <v>8.8970610246392086E-3</v>
      </c>
      <c r="K94" s="298">
        <v>1.1901375104307985E-2</v>
      </c>
      <c r="L94" s="298">
        <v>1.1921658515740853E-2</v>
      </c>
      <c r="M94" s="298">
        <v>5.9187663071225798E-3</v>
      </c>
      <c r="N94" s="298">
        <v>4.587462629749072E-3</v>
      </c>
      <c r="O94" s="298">
        <v>1.2699646308248702E-3</v>
      </c>
      <c r="P94" s="298">
        <v>2.2444292602197963E-3</v>
      </c>
      <c r="Q94" s="298">
        <v>2.8384966763810126E-3</v>
      </c>
      <c r="R94" s="298">
        <v>2.9287371239286731E-3</v>
      </c>
      <c r="S94" s="298">
        <v>2.9287371239286731E-3</v>
      </c>
      <c r="T94" s="298">
        <v>2.9287371239286731E-3</v>
      </c>
      <c r="U94" s="298">
        <v>2.9287371239286731E-3</v>
      </c>
    </row>
    <row r="95" spans="1:21" ht="14.4" x14ac:dyDescent="0.3">
      <c r="A95" s="43">
        <v>33</v>
      </c>
      <c r="B95" s="43"/>
      <c r="C95" s="1"/>
      <c r="D95" s="298">
        <v>0.30274927892914244</v>
      </c>
      <c r="E95" s="298">
        <v>1.7216657169820748E-2</v>
      </c>
      <c r="F95" s="298">
        <v>0.12233571605865014</v>
      </c>
      <c r="G95" s="298">
        <v>0.13605621192601108</v>
      </c>
      <c r="H95" s="298">
        <v>7.0763148414675126E-2</v>
      </c>
      <c r="I95" s="298">
        <v>0.26563628264177047</v>
      </c>
      <c r="J95" s="298">
        <v>0.34165566585023771</v>
      </c>
      <c r="K95" s="298">
        <v>0.22742267911109676</v>
      </c>
      <c r="L95" s="298">
        <v>0.15381673439332844</v>
      </c>
      <c r="M95" s="298">
        <v>0.11558930646976719</v>
      </c>
      <c r="N95" s="298">
        <v>8.4151409301761251E-2</v>
      </c>
      <c r="O95" s="298">
        <v>6.7503639523961864E-2</v>
      </c>
      <c r="P95" s="298">
        <v>5.6413371607669127E-2</v>
      </c>
      <c r="Q95" s="298">
        <v>4.1647697018963321E-2</v>
      </c>
      <c r="R95" s="298">
        <v>3.9799798597555773E-2</v>
      </c>
      <c r="S95" s="298">
        <v>3.9799798597555773E-2</v>
      </c>
      <c r="T95" s="298">
        <v>3.9799798597555773E-2</v>
      </c>
      <c r="U95" s="298">
        <v>3.9799798597555773E-2</v>
      </c>
    </row>
    <row r="96" spans="1:21" ht="14.4" x14ac:dyDescent="0.3">
      <c r="A96" s="43">
        <v>34</v>
      </c>
      <c r="B96" s="43"/>
      <c r="C96" s="1"/>
      <c r="D96" s="298">
        <v>0.15658261184107439</v>
      </c>
      <c r="E96" s="298">
        <v>6.9206297258360139E-2</v>
      </c>
      <c r="F96" s="298">
        <v>0.11719738000471913</v>
      </c>
      <c r="G96" s="298">
        <v>9.0950515996728487E-2</v>
      </c>
      <c r="H96" s="298">
        <v>5.6069430808107633E-2</v>
      </c>
      <c r="I96" s="298">
        <v>0.18457651004529252</v>
      </c>
      <c r="J96" s="298">
        <v>0.21861320828195963</v>
      </c>
      <c r="K96" s="298">
        <v>0.14805460867942424</v>
      </c>
      <c r="L96" s="298">
        <v>0.10865726471480185</v>
      </c>
      <c r="M96" s="298">
        <v>8.7921961526698345E-2</v>
      </c>
      <c r="N96" s="298">
        <v>5.8256465500538285E-2</v>
      </c>
      <c r="O96" s="298">
        <v>4.4253058727944716E-2</v>
      </c>
      <c r="P96" s="298">
        <v>3.9509788445304235E-2</v>
      </c>
      <c r="Q96" s="298">
        <v>2.9542651780987427E-2</v>
      </c>
      <c r="R96" s="298">
        <v>2.8071591122090556E-2</v>
      </c>
      <c r="S96" s="298">
        <v>2.8071591122090556E-2</v>
      </c>
      <c r="T96" s="298">
        <v>2.8071591122090556E-2</v>
      </c>
      <c r="U96" s="298">
        <v>2.8071591122090556E-2</v>
      </c>
    </row>
    <row r="97" spans="1:21" ht="14.4" x14ac:dyDescent="0.3">
      <c r="A97" s="43">
        <v>35</v>
      </c>
      <c r="B97" s="43"/>
      <c r="C97" s="1"/>
      <c r="D97" s="298">
        <v>5.9029852258662023</v>
      </c>
      <c r="E97" s="298">
        <v>1.4733260588243429</v>
      </c>
      <c r="F97" s="298">
        <v>1.2803616292235322</v>
      </c>
      <c r="G97" s="298">
        <v>1.0290257258239199</v>
      </c>
      <c r="H97" s="298">
        <v>0.95078684693100002</v>
      </c>
      <c r="I97" s="298">
        <v>0.68755518357204037</v>
      </c>
      <c r="J97" s="298">
        <v>0.51648077967213191</v>
      </c>
      <c r="K97" s="298">
        <v>0.5658478637815777</v>
      </c>
      <c r="L97" s="298">
        <v>0.55172205299175037</v>
      </c>
      <c r="M97" s="298">
        <v>0.48796466250698262</v>
      </c>
      <c r="N97" s="298">
        <v>0.39029335703643686</v>
      </c>
      <c r="O97" s="298">
        <v>0.36343466624775511</v>
      </c>
      <c r="P97" s="298">
        <v>0.35166631128246867</v>
      </c>
      <c r="Q97" s="298">
        <v>0.28545240285608292</v>
      </c>
      <c r="R97" s="298">
        <v>0.28281840150514814</v>
      </c>
      <c r="S97" s="298">
        <v>0.28281840150514814</v>
      </c>
      <c r="T97" s="298">
        <v>0.28281840150514814</v>
      </c>
      <c r="U97" s="298">
        <v>0.28281840150514814</v>
      </c>
    </row>
    <row r="98" spans="1:21" ht="14.4" x14ac:dyDescent="0.3">
      <c r="A98" s="43">
        <v>36</v>
      </c>
      <c r="B98" s="43"/>
      <c r="C98" s="1"/>
      <c r="D98" s="298">
        <v>0.15658261184107439</v>
      </c>
      <c r="E98" s="298">
        <v>6.9206297258360139E-2</v>
      </c>
      <c r="F98" s="298">
        <v>0.11719738000471913</v>
      </c>
      <c r="G98" s="298">
        <v>9.0950515996728487E-2</v>
      </c>
      <c r="H98" s="298">
        <v>5.6069430808107633E-2</v>
      </c>
      <c r="I98" s="298">
        <v>0.18457651004529252</v>
      </c>
      <c r="J98" s="298">
        <v>0.21861320828195963</v>
      </c>
      <c r="K98" s="298">
        <v>0.14805460867942424</v>
      </c>
      <c r="L98" s="298">
        <v>0.10865726471480185</v>
      </c>
      <c r="M98" s="298">
        <v>8.7921961526698345E-2</v>
      </c>
      <c r="N98" s="298">
        <v>5.8256465500538285E-2</v>
      </c>
      <c r="O98" s="298">
        <v>4.4253058727944716E-2</v>
      </c>
      <c r="P98" s="298">
        <v>3.9509788445304235E-2</v>
      </c>
      <c r="Q98" s="298">
        <v>2.9542651780987427E-2</v>
      </c>
      <c r="R98" s="298">
        <v>2.8071591122090556E-2</v>
      </c>
      <c r="S98" s="298">
        <v>2.8071591122090556E-2</v>
      </c>
      <c r="T98" s="298">
        <v>2.8071591122090556E-2</v>
      </c>
      <c r="U98" s="298">
        <v>2.8071591122090556E-2</v>
      </c>
    </row>
    <row r="99" spans="1:21" ht="14.4" x14ac:dyDescent="0.3">
      <c r="A99" s="43">
        <v>37</v>
      </c>
      <c r="B99" s="43"/>
      <c r="C99" s="1"/>
      <c r="D99" s="298">
        <v>4.7242605294817244</v>
      </c>
      <c r="E99" s="298">
        <v>1.4147795985274163</v>
      </c>
      <c r="F99" s="298">
        <v>0.86563302172429457</v>
      </c>
      <c r="G99" s="298">
        <v>0.58792408051231626</v>
      </c>
      <c r="H99" s="298">
        <v>0.44571284137714501</v>
      </c>
      <c r="I99" s="298">
        <v>0.35071388358174704</v>
      </c>
      <c r="J99" s="298">
        <v>0.34192356461046053</v>
      </c>
      <c r="K99" s="298">
        <v>0.32136315457507253</v>
      </c>
      <c r="L99" s="298">
        <v>0.32334277343163409</v>
      </c>
      <c r="M99" s="298">
        <v>0.31458122808120276</v>
      </c>
      <c r="N99" s="298">
        <v>0.26038899134139826</v>
      </c>
      <c r="O99" s="298">
        <v>0.23293659142238254</v>
      </c>
      <c r="P99" s="298">
        <v>0.23495243567481122</v>
      </c>
      <c r="Q99" s="298">
        <v>0.1983093021126322</v>
      </c>
      <c r="R99" s="298">
        <v>0.19995839901366486</v>
      </c>
      <c r="S99" s="298">
        <v>0.19995839901366486</v>
      </c>
      <c r="T99" s="298">
        <v>0.19995839901366486</v>
      </c>
      <c r="U99" s="298">
        <v>0.19995839901366486</v>
      </c>
    </row>
    <row r="100" spans="1:21" ht="14.4" x14ac:dyDescent="0.3">
      <c r="A100" s="43">
        <v>38</v>
      </c>
      <c r="B100" s="43"/>
      <c r="C100" s="1"/>
      <c r="D100" s="298">
        <v>0.15658261184107439</v>
      </c>
      <c r="E100" s="298">
        <v>6.9206297258360139E-2</v>
      </c>
      <c r="F100" s="298">
        <v>0.11719738000471913</v>
      </c>
      <c r="G100" s="298">
        <v>9.0950515996728487E-2</v>
      </c>
      <c r="H100" s="298">
        <v>5.6069430808107633E-2</v>
      </c>
      <c r="I100" s="298">
        <v>0.18457651004529252</v>
      </c>
      <c r="J100" s="298">
        <v>0.21861320828195963</v>
      </c>
      <c r="K100" s="298">
        <v>0.14805460867942424</v>
      </c>
      <c r="L100" s="298">
        <v>0.10865726471480185</v>
      </c>
      <c r="M100" s="298">
        <v>8.7921961526698345E-2</v>
      </c>
      <c r="N100" s="298">
        <v>5.8256465500538285E-2</v>
      </c>
      <c r="O100" s="298">
        <v>4.4253058727944716E-2</v>
      </c>
      <c r="P100" s="298">
        <v>3.9509788445304235E-2</v>
      </c>
      <c r="Q100" s="298">
        <v>2.9542651780987427E-2</v>
      </c>
      <c r="R100" s="298">
        <v>2.8071591122090556E-2</v>
      </c>
      <c r="S100" s="298">
        <v>2.8071591122090556E-2</v>
      </c>
      <c r="T100" s="298">
        <v>2.8071591122090556E-2</v>
      </c>
      <c r="U100" s="298">
        <v>2.8071591122090556E-2</v>
      </c>
    </row>
    <row r="101" spans="1:21" ht="14.4" x14ac:dyDescent="0.3">
      <c r="A101" s="43">
        <v>39</v>
      </c>
      <c r="B101" s="43"/>
      <c r="C101" s="1"/>
      <c r="D101" s="298">
        <v>0.2079850899943797</v>
      </c>
      <c r="E101" s="298">
        <v>0.13041647508011303</v>
      </c>
      <c r="F101" s="298">
        <v>0.12947509110634475</v>
      </c>
      <c r="G101" s="298">
        <v>0.11009404781577684</v>
      </c>
      <c r="H101" s="298">
        <v>6.014929527512837E-2</v>
      </c>
      <c r="I101" s="298">
        <v>0.21949671273146126</v>
      </c>
      <c r="J101" s="298">
        <v>0.27640701454444089</v>
      </c>
      <c r="K101" s="298">
        <v>0.17818419975534588</v>
      </c>
      <c r="L101" s="298">
        <v>0.12256174642203793</v>
      </c>
      <c r="M101" s="298">
        <v>9.8387203409769475E-2</v>
      </c>
      <c r="N101" s="298">
        <v>7.1958024598108364E-2</v>
      </c>
      <c r="O101" s="298">
        <v>5.1366620792552581E-2</v>
      </c>
      <c r="P101" s="298">
        <v>4.2850088405828553E-2</v>
      </c>
      <c r="Q101" s="298">
        <v>3.5922322150466021E-2</v>
      </c>
      <c r="R101" s="298">
        <v>3.4556391879303032E-2</v>
      </c>
      <c r="S101" s="298">
        <v>3.4556391879303032E-2</v>
      </c>
      <c r="T101" s="298">
        <v>3.4556391879303032E-2</v>
      </c>
      <c r="U101" s="298">
        <v>3.4556391879303032E-2</v>
      </c>
    </row>
    <row r="102" spans="1:21" ht="14.4" x14ac:dyDescent="0.3">
      <c r="A102" s="43">
        <v>40</v>
      </c>
      <c r="B102" s="43"/>
      <c r="C102" s="1"/>
      <c r="D102" s="298">
        <v>0.15658261184107439</v>
      </c>
      <c r="E102" s="298">
        <v>6.9206297258360139E-2</v>
      </c>
      <c r="F102" s="298">
        <v>0.11719738000471913</v>
      </c>
      <c r="G102" s="298">
        <v>9.0950515996728487E-2</v>
      </c>
      <c r="H102" s="298">
        <v>5.6069430808107633E-2</v>
      </c>
      <c r="I102" s="298">
        <v>0.18457651004529252</v>
      </c>
      <c r="J102" s="298">
        <v>0.21861320828195963</v>
      </c>
      <c r="K102" s="298">
        <v>0.14805460867942424</v>
      </c>
      <c r="L102" s="298">
        <v>0.10865726471480185</v>
      </c>
      <c r="M102" s="298">
        <v>8.7921961526698345E-2</v>
      </c>
      <c r="N102" s="298">
        <v>5.8256465500538285E-2</v>
      </c>
      <c r="O102" s="298">
        <v>4.4253058727944716E-2</v>
      </c>
      <c r="P102" s="298">
        <v>3.9509788445304235E-2</v>
      </c>
      <c r="Q102" s="298">
        <v>2.9542651780987427E-2</v>
      </c>
      <c r="R102" s="298">
        <v>2.8071591122090556E-2</v>
      </c>
      <c r="S102" s="298">
        <v>2.8071591122090556E-2</v>
      </c>
      <c r="T102" s="298">
        <v>2.8071591122090556E-2</v>
      </c>
      <c r="U102" s="298">
        <v>2.8071591122090556E-2</v>
      </c>
    </row>
    <row r="103" spans="1:21" ht="14.4" x14ac:dyDescent="0.3">
      <c r="A103" s="43">
        <v>41</v>
      </c>
      <c r="B103" s="43"/>
      <c r="C103" s="1"/>
      <c r="D103" s="298">
        <v>2.9593523720748518</v>
      </c>
      <c r="E103" s="298">
        <v>1.3960448536050045</v>
      </c>
      <c r="F103" s="298">
        <v>0.9788469484846104</v>
      </c>
      <c r="G103" s="298">
        <v>0.76626902234982497</v>
      </c>
      <c r="H103" s="298">
        <v>0.64986432358583057</v>
      </c>
      <c r="I103" s="298">
        <v>0.49479101470748305</v>
      </c>
      <c r="J103" s="298">
        <v>0.39951328972932304</v>
      </c>
      <c r="K103" s="298">
        <v>0.41594580564321404</v>
      </c>
      <c r="L103" s="298">
        <v>0.37579029347140652</v>
      </c>
      <c r="M103" s="298">
        <v>0.32440122806902955</v>
      </c>
      <c r="N103" s="298">
        <v>0.30529874652047795</v>
      </c>
      <c r="O103" s="298">
        <v>0.272856325769609</v>
      </c>
      <c r="P103" s="298">
        <v>0.23528249165808171</v>
      </c>
      <c r="Q103" s="298">
        <v>0.21930268062364178</v>
      </c>
      <c r="R103" s="298">
        <v>0.21942223358685053</v>
      </c>
      <c r="S103" s="298">
        <v>0.21942223358685053</v>
      </c>
      <c r="T103" s="298">
        <v>0.21942223358685053</v>
      </c>
      <c r="U103" s="298">
        <v>0.21942223358685053</v>
      </c>
    </row>
    <row r="104" spans="1:21" ht="14.4" x14ac:dyDescent="0.3">
      <c r="A104" s="43">
        <v>42</v>
      </c>
      <c r="B104" s="43"/>
      <c r="C104" s="1"/>
      <c r="D104" s="298">
        <v>0.15658261184107439</v>
      </c>
      <c r="E104" s="298">
        <v>6.9206297258360139E-2</v>
      </c>
      <c r="F104" s="298">
        <v>0.11719738000471913</v>
      </c>
      <c r="G104" s="298">
        <v>9.0950515996728487E-2</v>
      </c>
      <c r="H104" s="298">
        <v>5.6069430808107633E-2</v>
      </c>
      <c r="I104" s="298">
        <v>0.18457651004529252</v>
      </c>
      <c r="J104" s="298">
        <v>0.21861320828195963</v>
      </c>
      <c r="K104" s="298">
        <v>0.14805460867942424</v>
      </c>
      <c r="L104" s="298">
        <v>0.10865726471480185</v>
      </c>
      <c r="M104" s="298">
        <v>8.7921961526698345E-2</v>
      </c>
      <c r="N104" s="298">
        <v>5.8256465500538285E-2</v>
      </c>
      <c r="O104" s="298">
        <v>4.4253058727944716E-2</v>
      </c>
      <c r="P104" s="298">
        <v>3.9509788445304235E-2</v>
      </c>
      <c r="Q104" s="298">
        <v>2.9542651780987427E-2</v>
      </c>
      <c r="R104" s="298">
        <v>2.8071591122090556E-2</v>
      </c>
      <c r="S104" s="298">
        <v>2.8071591122090556E-2</v>
      </c>
      <c r="T104" s="298">
        <v>2.8071591122090556E-2</v>
      </c>
      <c r="U104" s="298">
        <v>2.8071591122090556E-2</v>
      </c>
    </row>
    <row r="105" spans="1:21" ht="14.4" x14ac:dyDescent="0.3">
      <c r="A105" s="43">
        <v>43</v>
      </c>
      <c r="B105" s="43"/>
      <c r="C105" s="1"/>
      <c r="D105" s="298">
        <v>2.2178560512821952</v>
      </c>
      <c r="E105" s="298">
        <v>1.1905972320783262</v>
      </c>
      <c r="F105" s="298">
        <v>0.75615175660327605</v>
      </c>
      <c r="G105" s="298">
        <v>0.45362551647456517</v>
      </c>
      <c r="H105" s="298">
        <v>0.28528173727691464</v>
      </c>
      <c r="I105" s="298">
        <v>0.21779752656057286</v>
      </c>
      <c r="J105" s="298">
        <v>0.25538951981730396</v>
      </c>
      <c r="K105" s="298">
        <v>0.24818871965708805</v>
      </c>
      <c r="L105" s="298">
        <v>0.22308863199724832</v>
      </c>
      <c r="M105" s="298">
        <v>0.19779080449305989</v>
      </c>
      <c r="N105" s="298">
        <v>0.1877023014843526</v>
      </c>
      <c r="O105" s="298">
        <v>0.18024721970812474</v>
      </c>
      <c r="P105" s="298">
        <v>0.14969356494618877</v>
      </c>
      <c r="Q105" s="298">
        <v>0.15402172112964774</v>
      </c>
      <c r="R105" s="298">
        <v>0.14788153997371078</v>
      </c>
      <c r="S105" s="298">
        <v>0.14788153997371078</v>
      </c>
      <c r="T105" s="298">
        <v>0.14788153997371078</v>
      </c>
      <c r="U105" s="298">
        <v>0.14788153997371078</v>
      </c>
    </row>
    <row r="106" spans="1:21" ht="14.4" x14ac:dyDescent="0.3">
      <c r="A106" s="43">
        <v>44</v>
      </c>
      <c r="B106" s="43"/>
      <c r="C106" s="1"/>
      <c r="D106" s="298">
        <v>0.15658261184107439</v>
      </c>
      <c r="E106" s="298">
        <v>6.9206297258360139E-2</v>
      </c>
      <c r="F106" s="298">
        <v>0.11719738000471913</v>
      </c>
      <c r="G106" s="298">
        <v>9.0950515996728487E-2</v>
      </c>
      <c r="H106" s="298">
        <v>5.6069430808107633E-2</v>
      </c>
      <c r="I106" s="298">
        <v>0.18457651004529252</v>
      </c>
      <c r="J106" s="298">
        <v>0.21861320828195963</v>
      </c>
      <c r="K106" s="298">
        <v>0.14805460867942424</v>
      </c>
      <c r="L106" s="298">
        <v>0.10865726471480185</v>
      </c>
      <c r="M106" s="298">
        <v>8.7921961526698345E-2</v>
      </c>
      <c r="N106" s="298">
        <v>5.8256465500538285E-2</v>
      </c>
      <c r="O106" s="298">
        <v>4.4253058727944716E-2</v>
      </c>
      <c r="P106" s="298">
        <v>3.9509788445304235E-2</v>
      </c>
      <c r="Q106" s="298">
        <v>2.9542651780987427E-2</v>
      </c>
      <c r="R106" s="298">
        <v>2.8071591122090556E-2</v>
      </c>
      <c r="S106" s="298">
        <v>2.8071591122090556E-2</v>
      </c>
      <c r="T106" s="298">
        <v>2.8071591122090556E-2</v>
      </c>
      <c r="U106" s="298">
        <v>2.8071591122090556E-2</v>
      </c>
    </row>
    <row r="107" spans="1:21" ht="14.4" x14ac:dyDescent="0.3">
      <c r="A107" s="43">
        <v>45</v>
      </c>
      <c r="B107" s="43"/>
      <c r="C107" s="1"/>
      <c r="D107" s="298">
        <v>0.15674381381219379</v>
      </c>
      <c r="E107" s="298">
        <v>6.9135515452953725E-2</v>
      </c>
      <c r="F107" s="298">
        <v>0.11721931861181524</v>
      </c>
      <c r="G107" s="298">
        <v>9.0976276916425139E-2</v>
      </c>
      <c r="H107" s="298">
        <v>5.5974795488511517E-2</v>
      </c>
      <c r="I107" s="298">
        <v>0.18455139999068912</v>
      </c>
      <c r="J107" s="298">
        <v>0.21866515563030009</v>
      </c>
      <c r="K107" s="298">
        <v>0.14808361462956454</v>
      </c>
      <c r="L107" s="298">
        <v>0.10867252849450271</v>
      </c>
      <c r="M107" s="298">
        <v>8.7932880027034033E-2</v>
      </c>
      <c r="N107" s="298">
        <v>5.8261619608528936E-2</v>
      </c>
      <c r="O107" s="298">
        <v>4.4254803859095013E-2</v>
      </c>
      <c r="P107" s="298">
        <v>3.9511622355493263E-2</v>
      </c>
      <c r="Q107" s="298">
        <v>2.9543012509050892E-2</v>
      </c>
      <c r="R107" s="298">
        <v>2.8071590865564936E-2</v>
      </c>
      <c r="S107" s="298">
        <v>2.8071590865564936E-2</v>
      </c>
      <c r="T107" s="298">
        <v>2.8071590865564936E-2</v>
      </c>
      <c r="U107" s="298">
        <v>2.8071590865564936E-2</v>
      </c>
    </row>
    <row r="108" spans="1:21" ht="14.4" x14ac:dyDescent="0.3">
      <c r="A108" s="43">
        <v>46</v>
      </c>
      <c r="B108" s="43"/>
      <c r="C108" s="1"/>
      <c r="D108" s="298">
        <v>0.15658261184107439</v>
      </c>
      <c r="E108" s="298">
        <v>6.9206297258360139E-2</v>
      </c>
      <c r="F108" s="298">
        <v>0.11719738000471913</v>
      </c>
      <c r="G108" s="298">
        <v>9.0950515996728487E-2</v>
      </c>
      <c r="H108" s="298">
        <v>5.6069430808107633E-2</v>
      </c>
      <c r="I108" s="298">
        <v>0.18457651004529252</v>
      </c>
      <c r="J108" s="298">
        <v>0.21861320828195963</v>
      </c>
      <c r="K108" s="298">
        <v>0.14805460867942424</v>
      </c>
      <c r="L108" s="298">
        <v>0.10865726471480185</v>
      </c>
      <c r="M108" s="298">
        <v>8.7921961526698345E-2</v>
      </c>
      <c r="N108" s="298">
        <v>5.8256465500538285E-2</v>
      </c>
      <c r="O108" s="298">
        <v>4.4253058727944716E-2</v>
      </c>
      <c r="P108" s="298">
        <v>3.9509788445304235E-2</v>
      </c>
      <c r="Q108" s="298">
        <v>2.9542651780987427E-2</v>
      </c>
      <c r="R108" s="298">
        <v>2.8071591122090556E-2</v>
      </c>
      <c r="S108" s="298">
        <v>2.8071591122090556E-2</v>
      </c>
      <c r="T108" s="298">
        <v>2.8071591122090556E-2</v>
      </c>
      <c r="U108" s="298">
        <v>2.8071591122090556E-2</v>
      </c>
    </row>
    <row r="109" spans="1:21" ht="14.4" x14ac:dyDescent="0.3">
      <c r="A109" s="43">
        <v>47</v>
      </c>
      <c r="B109" s="43"/>
      <c r="C109" s="1"/>
      <c r="D109" s="298">
        <v>2.3268630691236321</v>
      </c>
      <c r="E109" s="298">
        <v>0.78641478977548207</v>
      </c>
      <c r="F109" s="298">
        <v>0.65683719239534155</v>
      </c>
      <c r="G109" s="298">
        <v>0.58143321676267457</v>
      </c>
      <c r="H109" s="298">
        <v>0.44928960665019158</v>
      </c>
      <c r="I109" s="298">
        <v>0.41294151992551731</v>
      </c>
      <c r="J109" s="298">
        <v>0.2940568330031525</v>
      </c>
      <c r="K109" s="298">
        <v>0.2786885915405366</v>
      </c>
      <c r="L109" s="298">
        <v>0.26697263616116279</v>
      </c>
      <c r="M109" s="298">
        <v>0.26064585390490097</v>
      </c>
      <c r="N109" s="298">
        <v>0.2367936036530196</v>
      </c>
      <c r="O109" s="298">
        <v>0.19038468562778788</v>
      </c>
      <c r="P109" s="298">
        <v>0.18456070692514012</v>
      </c>
      <c r="Q109" s="298">
        <v>0.16108516476637483</v>
      </c>
      <c r="R109" s="298">
        <v>0.15522073313539117</v>
      </c>
      <c r="S109" s="298">
        <v>0.15522073313539117</v>
      </c>
      <c r="T109" s="298">
        <v>0.15522073313539117</v>
      </c>
      <c r="U109" s="298">
        <v>0.15522073313539117</v>
      </c>
    </row>
    <row r="110" spans="1:21" ht="14.4" x14ac:dyDescent="0.3">
      <c r="A110" s="43">
        <v>48</v>
      </c>
      <c r="B110" s="43"/>
      <c r="C110" s="1"/>
      <c r="D110" s="298">
        <v>0.15658261184107439</v>
      </c>
      <c r="E110" s="298">
        <v>6.9206297258360139E-2</v>
      </c>
      <c r="F110" s="298">
        <v>0.11719738000471913</v>
      </c>
      <c r="G110" s="298">
        <v>9.0950515996728487E-2</v>
      </c>
      <c r="H110" s="298">
        <v>5.6069430808107633E-2</v>
      </c>
      <c r="I110" s="298">
        <v>0.18457651004529252</v>
      </c>
      <c r="J110" s="298">
        <v>0.21861320828195963</v>
      </c>
      <c r="K110" s="298">
        <v>0.14805460867942424</v>
      </c>
      <c r="L110" s="298">
        <v>0.10865726471480185</v>
      </c>
      <c r="M110" s="298">
        <v>8.7921961526698345E-2</v>
      </c>
      <c r="N110" s="298">
        <v>5.8256465500538285E-2</v>
      </c>
      <c r="O110" s="298">
        <v>4.4253058727944716E-2</v>
      </c>
      <c r="P110" s="298">
        <v>3.9509788445304235E-2</v>
      </c>
      <c r="Q110" s="298">
        <v>2.9542651780987427E-2</v>
      </c>
      <c r="R110" s="298">
        <v>2.8071591122090556E-2</v>
      </c>
      <c r="S110" s="298">
        <v>2.8071591122090556E-2</v>
      </c>
      <c r="T110" s="298">
        <v>2.8071591122090556E-2</v>
      </c>
      <c r="U110" s="298">
        <v>2.8071591122090556E-2</v>
      </c>
    </row>
    <row r="111" spans="1:21" ht="14.4" x14ac:dyDescent="0.3">
      <c r="A111" s="43">
        <v>49</v>
      </c>
      <c r="B111" s="43"/>
      <c r="C111" s="1"/>
      <c r="D111" s="298">
        <v>2.222090686942058</v>
      </c>
      <c r="E111" s="298">
        <v>0.8231320290067401</v>
      </c>
      <c r="F111" s="298">
        <v>0.54372728367538525</v>
      </c>
      <c r="G111" s="298">
        <v>0.33388586731319231</v>
      </c>
      <c r="H111" s="298">
        <v>0.20472977887589594</v>
      </c>
      <c r="I111" s="298">
        <v>0.16067909526322774</v>
      </c>
      <c r="J111" s="298">
        <v>0.19635848943192444</v>
      </c>
      <c r="K111" s="298">
        <v>0.18022284651166184</v>
      </c>
      <c r="L111" s="298">
        <v>0.15241194609444156</v>
      </c>
      <c r="M111" s="298">
        <v>0.14568078669873447</v>
      </c>
      <c r="N111" s="298">
        <v>0.14316623416465049</v>
      </c>
      <c r="O111" s="298">
        <v>0.11820986355275069</v>
      </c>
      <c r="P111" s="298">
        <v>0.11324661442841535</v>
      </c>
      <c r="Q111" s="298">
        <v>0.10591950094820782</v>
      </c>
      <c r="R111" s="298">
        <v>0.10181373046970461</v>
      </c>
      <c r="S111" s="298">
        <v>0.10181373046970461</v>
      </c>
      <c r="T111" s="298">
        <v>0.10181373046970461</v>
      </c>
      <c r="U111" s="298">
        <v>0.10181373046970461</v>
      </c>
    </row>
    <row r="112" spans="1:21" ht="14.4" x14ac:dyDescent="0.3">
      <c r="A112" s="43">
        <v>50</v>
      </c>
      <c r="B112" s="43"/>
      <c r="C112" s="1"/>
      <c r="D112" s="298">
        <v>0.15658261184107439</v>
      </c>
      <c r="E112" s="298">
        <v>6.9206297258360139E-2</v>
      </c>
      <c r="F112" s="298">
        <v>0.11719738000471913</v>
      </c>
      <c r="G112" s="298">
        <v>9.0950515996728487E-2</v>
      </c>
      <c r="H112" s="298">
        <v>5.6069430808107633E-2</v>
      </c>
      <c r="I112" s="298">
        <v>0.18457651004529252</v>
      </c>
      <c r="J112" s="298">
        <v>0.21861320828195963</v>
      </c>
      <c r="K112" s="298">
        <v>0.14805460867942424</v>
      </c>
      <c r="L112" s="298">
        <v>0.10865726471480185</v>
      </c>
      <c r="M112" s="298">
        <v>8.7921961526698345E-2</v>
      </c>
      <c r="N112" s="298">
        <v>5.8256465500538285E-2</v>
      </c>
      <c r="O112" s="298">
        <v>4.4253058727944716E-2</v>
      </c>
      <c r="P112" s="298">
        <v>3.9509788445304235E-2</v>
      </c>
      <c r="Q112" s="298">
        <v>2.9542651780987427E-2</v>
      </c>
      <c r="R112" s="298">
        <v>2.8071591122090556E-2</v>
      </c>
      <c r="S112" s="298">
        <v>2.8071591122090556E-2</v>
      </c>
      <c r="T112" s="298">
        <v>2.8071591122090556E-2</v>
      </c>
      <c r="U112" s="298">
        <v>2.8071591122090556E-2</v>
      </c>
    </row>
    <row r="113" spans="2:21" x14ac:dyDescent="0.25">
      <c r="D113" s="51"/>
    </row>
    <row r="114" spans="2:21" x14ac:dyDescent="0.25">
      <c r="B114" s="26" t="s">
        <v>5</v>
      </c>
      <c r="D114" s="32">
        <f t="shared" ref="D114:U114" si="7">SQRT(SUMSQ(D64:D112))</f>
        <v>163.93774717643851</v>
      </c>
      <c r="E114" s="32">
        <f t="shared" si="7"/>
        <v>113.48802501155089</v>
      </c>
      <c r="F114" s="32">
        <f t="shared" si="7"/>
        <v>92.201479834948017</v>
      </c>
      <c r="G114" s="32">
        <f t="shared" si="7"/>
        <v>70.914070764570482</v>
      </c>
      <c r="H114" s="32">
        <f t="shared" si="7"/>
        <v>54.750054571794223</v>
      </c>
      <c r="I114" s="32">
        <f t="shared" si="7"/>
        <v>45.409107972180678</v>
      </c>
      <c r="J114" s="32">
        <f t="shared" si="7"/>
        <v>40.452846599409661</v>
      </c>
      <c r="K114" s="32">
        <f t="shared" si="7"/>
        <v>36.567604373048553</v>
      </c>
      <c r="L114" s="32">
        <f t="shared" si="7"/>
        <v>33.722497172696237</v>
      </c>
      <c r="M114" s="32">
        <f t="shared" si="7"/>
        <v>31.537820676686238</v>
      </c>
      <c r="N114" s="32">
        <f t="shared" si="7"/>
        <v>28.353599859458789</v>
      </c>
      <c r="O114" s="32">
        <f t="shared" si="7"/>
        <v>26.003967172553079</v>
      </c>
      <c r="P114" s="32">
        <f t="shared" si="7"/>
        <v>24.160245237926446</v>
      </c>
      <c r="Q114" s="32">
        <f t="shared" si="7"/>
        <v>21.249690073067327</v>
      </c>
      <c r="R114" s="32">
        <f t="shared" si="7"/>
        <v>21.247242746791578</v>
      </c>
      <c r="S114" s="32">
        <f t="shared" si="7"/>
        <v>21.247242746791578</v>
      </c>
      <c r="T114" s="32">
        <f t="shared" si="7"/>
        <v>21.247242746791578</v>
      </c>
      <c r="U114" s="32">
        <f t="shared" si="7"/>
        <v>21.247242746791578</v>
      </c>
    </row>
    <row r="116" spans="2:21" x14ac:dyDescent="0.25">
      <c r="D116" s="32"/>
      <c r="E116" s="32"/>
      <c r="F116" s="32"/>
      <c r="G116" s="32"/>
      <c r="H116" s="32"/>
      <c r="I116" s="32"/>
    </row>
    <row r="118" spans="2:21" x14ac:dyDescent="0.25">
      <c r="D118" s="32"/>
      <c r="E118" s="32"/>
      <c r="F118" s="32"/>
      <c r="G118" s="32"/>
      <c r="H118" s="32"/>
      <c r="I118" s="32"/>
    </row>
  </sheetData>
  <pageMargins left="0.75" right="0.75" top="1" bottom="1" header="0.5" footer="0.5"/>
  <pageSetup scale="86" fitToWidth="2" fitToHeight="2" orientation="portrait" r:id="rId1"/>
  <headerFooter alignWithMargins="0">
    <oddHeader>&amp;R&amp;D
&amp;T
rh</oddHeader>
    <oddFooter>&amp;L&amp;F
&amp;A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U118"/>
  <sheetViews>
    <sheetView workbookViewId="0"/>
  </sheetViews>
  <sheetFormatPr defaultRowHeight="13.2" x14ac:dyDescent="0.25"/>
  <cols>
    <col min="1" max="6" width="9.109375" style="26"/>
    <col min="7" max="7" width="9.109375" style="26" customWidth="1"/>
    <col min="8" max="8" width="10.6640625" style="26" customWidth="1"/>
    <col min="9" max="262" width="9.109375" style="26"/>
    <col min="263" max="263" width="9.5546875" style="26" bestFit="1" customWidth="1"/>
    <col min="264" max="264" width="10.6640625" style="26" customWidth="1"/>
    <col min="265" max="518" width="9.109375" style="26"/>
    <col min="519" max="519" width="9.5546875" style="26" bestFit="1" customWidth="1"/>
    <col min="520" max="520" width="10.6640625" style="26" customWidth="1"/>
    <col min="521" max="774" width="9.109375" style="26"/>
    <col min="775" max="775" width="9.5546875" style="26" bestFit="1" customWidth="1"/>
    <col min="776" max="776" width="10.6640625" style="26" customWidth="1"/>
    <col min="777" max="1030" width="9.109375" style="26"/>
    <col min="1031" max="1031" width="9.5546875" style="26" bestFit="1" customWidth="1"/>
    <col min="1032" max="1032" width="10.6640625" style="26" customWidth="1"/>
    <col min="1033" max="1286" width="9.109375" style="26"/>
    <col min="1287" max="1287" width="9.5546875" style="26" bestFit="1" customWidth="1"/>
    <col min="1288" max="1288" width="10.6640625" style="26" customWidth="1"/>
    <col min="1289" max="1542" width="9.109375" style="26"/>
    <col min="1543" max="1543" width="9.5546875" style="26" bestFit="1" customWidth="1"/>
    <col min="1544" max="1544" width="10.6640625" style="26" customWidth="1"/>
    <col min="1545" max="1798" width="9.109375" style="26"/>
    <col min="1799" max="1799" width="9.5546875" style="26" bestFit="1" customWidth="1"/>
    <col min="1800" max="1800" width="10.6640625" style="26" customWidth="1"/>
    <col min="1801" max="2054" width="9.109375" style="26"/>
    <col min="2055" max="2055" width="9.5546875" style="26" bestFit="1" customWidth="1"/>
    <col min="2056" max="2056" width="10.6640625" style="26" customWidth="1"/>
    <col min="2057" max="2310" width="9.109375" style="26"/>
    <col min="2311" max="2311" width="9.5546875" style="26" bestFit="1" customWidth="1"/>
    <col min="2312" max="2312" width="10.6640625" style="26" customWidth="1"/>
    <col min="2313" max="2566" width="9.109375" style="26"/>
    <col min="2567" max="2567" width="9.5546875" style="26" bestFit="1" customWidth="1"/>
    <col min="2568" max="2568" width="10.6640625" style="26" customWidth="1"/>
    <col min="2569" max="2822" width="9.109375" style="26"/>
    <col min="2823" max="2823" width="9.5546875" style="26" bestFit="1" customWidth="1"/>
    <col min="2824" max="2824" width="10.6640625" style="26" customWidth="1"/>
    <col min="2825" max="3078" width="9.109375" style="26"/>
    <col min="3079" max="3079" width="9.5546875" style="26" bestFit="1" customWidth="1"/>
    <col min="3080" max="3080" width="10.6640625" style="26" customWidth="1"/>
    <col min="3081" max="3334" width="9.109375" style="26"/>
    <col min="3335" max="3335" width="9.5546875" style="26" bestFit="1" customWidth="1"/>
    <col min="3336" max="3336" width="10.6640625" style="26" customWidth="1"/>
    <col min="3337" max="3590" width="9.109375" style="26"/>
    <col min="3591" max="3591" width="9.5546875" style="26" bestFit="1" customWidth="1"/>
    <col min="3592" max="3592" width="10.6640625" style="26" customWidth="1"/>
    <col min="3593" max="3846" width="9.109375" style="26"/>
    <col min="3847" max="3847" width="9.5546875" style="26" bestFit="1" customWidth="1"/>
    <col min="3848" max="3848" width="10.6640625" style="26" customWidth="1"/>
    <col min="3849" max="4102" width="9.109375" style="26"/>
    <col min="4103" max="4103" width="9.5546875" style="26" bestFit="1" customWidth="1"/>
    <col min="4104" max="4104" width="10.6640625" style="26" customWidth="1"/>
    <col min="4105" max="4358" width="9.109375" style="26"/>
    <col min="4359" max="4359" width="9.5546875" style="26" bestFit="1" customWidth="1"/>
    <col min="4360" max="4360" width="10.6640625" style="26" customWidth="1"/>
    <col min="4361" max="4614" width="9.109375" style="26"/>
    <col min="4615" max="4615" width="9.5546875" style="26" bestFit="1" customWidth="1"/>
    <col min="4616" max="4616" width="10.6640625" style="26" customWidth="1"/>
    <col min="4617" max="4870" width="9.109375" style="26"/>
    <col min="4871" max="4871" width="9.5546875" style="26" bestFit="1" customWidth="1"/>
    <col min="4872" max="4872" width="10.6640625" style="26" customWidth="1"/>
    <col min="4873" max="5126" width="9.109375" style="26"/>
    <col min="5127" max="5127" width="9.5546875" style="26" bestFit="1" customWidth="1"/>
    <col min="5128" max="5128" width="10.6640625" style="26" customWidth="1"/>
    <col min="5129" max="5382" width="9.109375" style="26"/>
    <col min="5383" max="5383" width="9.5546875" style="26" bestFit="1" customWidth="1"/>
    <col min="5384" max="5384" width="10.6640625" style="26" customWidth="1"/>
    <col min="5385" max="5638" width="9.109375" style="26"/>
    <col min="5639" max="5639" width="9.5546875" style="26" bestFit="1" customWidth="1"/>
    <col min="5640" max="5640" width="10.6640625" style="26" customWidth="1"/>
    <col min="5641" max="5894" width="9.109375" style="26"/>
    <col min="5895" max="5895" width="9.5546875" style="26" bestFit="1" customWidth="1"/>
    <col min="5896" max="5896" width="10.6640625" style="26" customWidth="1"/>
    <col min="5897" max="6150" width="9.109375" style="26"/>
    <col min="6151" max="6151" width="9.5546875" style="26" bestFit="1" customWidth="1"/>
    <col min="6152" max="6152" width="10.6640625" style="26" customWidth="1"/>
    <col min="6153" max="6406" width="9.109375" style="26"/>
    <col min="6407" max="6407" width="9.5546875" style="26" bestFit="1" customWidth="1"/>
    <col min="6408" max="6408" width="10.6640625" style="26" customWidth="1"/>
    <col min="6409" max="6662" width="9.109375" style="26"/>
    <col min="6663" max="6663" width="9.5546875" style="26" bestFit="1" customWidth="1"/>
    <col min="6664" max="6664" width="10.6640625" style="26" customWidth="1"/>
    <col min="6665" max="6918" width="9.109375" style="26"/>
    <col min="6919" max="6919" width="9.5546875" style="26" bestFit="1" customWidth="1"/>
    <col min="6920" max="6920" width="10.6640625" style="26" customWidth="1"/>
    <col min="6921" max="7174" width="9.109375" style="26"/>
    <col min="7175" max="7175" width="9.5546875" style="26" bestFit="1" customWidth="1"/>
    <col min="7176" max="7176" width="10.6640625" style="26" customWidth="1"/>
    <col min="7177" max="7430" width="9.109375" style="26"/>
    <col min="7431" max="7431" width="9.5546875" style="26" bestFit="1" customWidth="1"/>
    <col min="7432" max="7432" width="10.6640625" style="26" customWidth="1"/>
    <col min="7433" max="7686" width="9.109375" style="26"/>
    <col min="7687" max="7687" width="9.5546875" style="26" bestFit="1" customWidth="1"/>
    <col min="7688" max="7688" width="10.6640625" style="26" customWidth="1"/>
    <col min="7689" max="7942" width="9.109375" style="26"/>
    <col min="7943" max="7943" width="9.5546875" style="26" bestFit="1" customWidth="1"/>
    <col min="7944" max="7944" width="10.6640625" style="26" customWidth="1"/>
    <col min="7945" max="8198" width="9.109375" style="26"/>
    <col min="8199" max="8199" width="9.5546875" style="26" bestFit="1" customWidth="1"/>
    <col min="8200" max="8200" width="10.6640625" style="26" customWidth="1"/>
    <col min="8201" max="8454" width="9.109375" style="26"/>
    <col min="8455" max="8455" width="9.5546875" style="26" bestFit="1" customWidth="1"/>
    <col min="8456" max="8456" width="10.6640625" style="26" customWidth="1"/>
    <col min="8457" max="8710" width="9.109375" style="26"/>
    <col min="8711" max="8711" width="9.5546875" style="26" bestFit="1" customWidth="1"/>
    <col min="8712" max="8712" width="10.6640625" style="26" customWidth="1"/>
    <col min="8713" max="8966" width="9.109375" style="26"/>
    <col min="8967" max="8967" width="9.5546875" style="26" bestFit="1" customWidth="1"/>
    <col min="8968" max="8968" width="10.6640625" style="26" customWidth="1"/>
    <col min="8969" max="9222" width="9.109375" style="26"/>
    <col min="9223" max="9223" width="9.5546875" style="26" bestFit="1" customWidth="1"/>
    <col min="9224" max="9224" width="10.6640625" style="26" customWidth="1"/>
    <col min="9225" max="9478" width="9.109375" style="26"/>
    <col min="9479" max="9479" width="9.5546875" style="26" bestFit="1" customWidth="1"/>
    <col min="9480" max="9480" width="10.6640625" style="26" customWidth="1"/>
    <col min="9481" max="9734" width="9.109375" style="26"/>
    <col min="9735" max="9735" width="9.5546875" style="26" bestFit="1" customWidth="1"/>
    <col min="9736" max="9736" width="10.6640625" style="26" customWidth="1"/>
    <col min="9737" max="9990" width="9.109375" style="26"/>
    <col min="9991" max="9991" width="9.5546875" style="26" bestFit="1" customWidth="1"/>
    <col min="9992" max="9992" width="10.6640625" style="26" customWidth="1"/>
    <col min="9993" max="10246" width="9.109375" style="26"/>
    <col min="10247" max="10247" width="9.5546875" style="26" bestFit="1" customWidth="1"/>
    <col min="10248" max="10248" width="10.6640625" style="26" customWidth="1"/>
    <col min="10249" max="10502" width="9.109375" style="26"/>
    <col min="10503" max="10503" width="9.5546875" style="26" bestFit="1" customWidth="1"/>
    <col min="10504" max="10504" width="10.6640625" style="26" customWidth="1"/>
    <col min="10505" max="10758" width="9.109375" style="26"/>
    <col min="10759" max="10759" width="9.5546875" style="26" bestFit="1" customWidth="1"/>
    <col min="10760" max="10760" width="10.6640625" style="26" customWidth="1"/>
    <col min="10761" max="11014" width="9.109375" style="26"/>
    <col min="11015" max="11015" width="9.5546875" style="26" bestFit="1" customWidth="1"/>
    <col min="11016" max="11016" width="10.6640625" style="26" customWidth="1"/>
    <col min="11017" max="11270" width="9.109375" style="26"/>
    <col min="11271" max="11271" width="9.5546875" style="26" bestFit="1" customWidth="1"/>
    <col min="11272" max="11272" width="10.6640625" style="26" customWidth="1"/>
    <col min="11273" max="11526" width="9.109375" style="26"/>
    <col min="11527" max="11527" width="9.5546875" style="26" bestFit="1" customWidth="1"/>
    <col min="11528" max="11528" width="10.6640625" style="26" customWidth="1"/>
    <col min="11529" max="11782" width="9.109375" style="26"/>
    <col min="11783" max="11783" width="9.5546875" style="26" bestFit="1" customWidth="1"/>
    <col min="11784" max="11784" width="10.6640625" style="26" customWidth="1"/>
    <col min="11785" max="12038" width="9.109375" style="26"/>
    <col min="12039" max="12039" width="9.5546875" style="26" bestFit="1" customWidth="1"/>
    <col min="12040" max="12040" width="10.6640625" style="26" customWidth="1"/>
    <col min="12041" max="12294" width="9.109375" style="26"/>
    <col min="12295" max="12295" width="9.5546875" style="26" bestFit="1" customWidth="1"/>
    <col min="12296" max="12296" width="10.6640625" style="26" customWidth="1"/>
    <col min="12297" max="12550" width="9.109375" style="26"/>
    <col min="12551" max="12551" width="9.5546875" style="26" bestFit="1" customWidth="1"/>
    <col min="12552" max="12552" width="10.6640625" style="26" customWidth="1"/>
    <col min="12553" max="12806" width="9.109375" style="26"/>
    <col min="12807" max="12807" width="9.5546875" style="26" bestFit="1" customWidth="1"/>
    <col min="12808" max="12808" width="10.6640625" style="26" customWidth="1"/>
    <col min="12809" max="13062" width="9.109375" style="26"/>
    <col min="13063" max="13063" width="9.5546875" style="26" bestFit="1" customWidth="1"/>
    <col min="13064" max="13064" width="10.6640625" style="26" customWidth="1"/>
    <col min="13065" max="13318" width="9.109375" style="26"/>
    <col min="13319" max="13319" width="9.5546875" style="26" bestFit="1" customWidth="1"/>
    <col min="13320" max="13320" width="10.6640625" style="26" customWidth="1"/>
    <col min="13321" max="13574" width="9.109375" style="26"/>
    <col min="13575" max="13575" width="9.5546875" style="26" bestFit="1" customWidth="1"/>
    <col min="13576" max="13576" width="10.6640625" style="26" customWidth="1"/>
    <col min="13577" max="13830" width="9.109375" style="26"/>
    <col min="13831" max="13831" width="9.5546875" style="26" bestFit="1" customWidth="1"/>
    <col min="13832" max="13832" width="10.6640625" style="26" customWidth="1"/>
    <col min="13833" max="14086" width="9.109375" style="26"/>
    <col min="14087" max="14087" width="9.5546875" style="26" bestFit="1" customWidth="1"/>
    <col min="14088" max="14088" width="10.6640625" style="26" customWidth="1"/>
    <col min="14089" max="14342" width="9.109375" style="26"/>
    <col min="14343" max="14343" width="9.5546875" style="26" bestFit="1" customWidth="1"/>
    <col min="14344" max="14344" width="10.6640625" style="26" customWidth="1"/>
    <col min="14345" max="14598" width="9.109375" style="26"/>
    <col min="14599" max="14599" width="9.5546875" style="26" bestFit="1" customWidth="1"/>
    <col min="14600" max="14600" width="10.6640625" style="26" customWidth="1"/>
    <col min="14601" max="14854" width="9.109375" style="26"/>
    <col min="14855" max="14855" width="9.5546875" style="26" bestFit="1" customWidth="1"/>
    <col min="14856" max="14856" width="10.6640625" style="26" customWidth="1"/>
    <col min="14857" max="15110" width="9.109375" style="26"/>
    <col min="15111" max="15111" width="9.5546875" style="26" bestFit="1" customWidth="1"/>
    <col min="15112" max="15112" width="10.6640625" style="26" customWidth="1"/>
    <col min="15113" max="15366" width="9.109375" style="26"/>
    <col min="15367" max="15367" width="9.5546875" style="26" bestFit="1" customWidth="1"/>
    <col min="15368" max="15368" width="10.6640625" style="26" customWidth="1"/>
    <col min="15369" max="15622" width="9.109375" style="26"/>
    <col min="15623" max="15623" width="9.5546875" style="26" bestFit="1" customWidth="1"/>
    <col min="15624" max="15624" width="10.6640625" style="26" customWidth="1"/>
    <col min="15625" max="15878" width="9.109375" style="26"/>
    <col min="15879" max="15879" width="9.5546875" style="26" bestFit="1" customWidth="1"/>
    <col min="15880" max="15880" width="10.6640625" style="26" customWidth="1"/>
    <col min="15881" max="16134" width="9.109375" style="26"/>
    <col min="16135" max="16135" width="9.5546875" style="26" bestFit="1" customWidth="1"/>
    <col min="16136" max="16136" width="10.6640625" style="26" customWidth="1"/>
    <col min="16137" max="16384" width="9.109375" style="26"/>
  </cols>
  <sheetData>
    <row r="1" spans="1:21" ht="13.8" thickBot="1" x14ac:dyDescent="0.3">
      <c r="A1" s="84" t="s">
        <v>285</v>
      </c>
      <c r="B1" s="275" t="s">
        <v>402</v>
      </c>
      <c r="C1" s="33">
        <f>Drives!BA25</f>
        <v>38490.017945975058</v>
      </c>
      <c r="D1" s="28" t="s">
        <v>7</v>
      </c>
      <c r="E1" s="300">
        <v>3</v>
      </c>
      <c r="F1" s="301">
        <f>MAX(0.1,E1+100/C1)</f>
        <v>3.0025980762113531</v>
      </c>
      <c r="G1" s="36" t="s">
        <v>1</v>
      </c>
      <c r="H1" s="81">
        <f>J17</f>
        <v>0</v>
      </c>
      <c r="I1" s="54" t="s">
        <v>13</v>
      </c>
      <c r="J1" s="34">
        <f>Drives!Z25</f>
        <v>0</v>
      </c>
      <c r="K1" s="26" t="s">
        <v>84</v>
      </c>
      <c r="N1" s="256">
        <v>0.995</v>
      </c>
      <c r="O1" s="82" t="s">
        <v>176</v>
      </c>
      <c r="P1" s="333" t="s">
        <v>566</v>
      </c>
      <c r="Q1" s="82"/>
      <c r="R1" s="82"/>
      <c r="S1" s="82"/>
      <c r="T1" s="82"/>
      <c r="U1" s="82"/>
    </row>
    <row r="2" spans="1:21" x14ac:dyDescent="0.25">
      <c r="A2" s="269" t="s">
        <v>88</v>
      </c>
      <c r="B2" s="276">
        <v>25</v>
      </c>
      <c r="D2" s="26">
        <f>C4+1</f>
        <v>5</v>
      </c>
      <c r="E2" s="41">
        <f>F1-C3</f>
        <v>2.5980762113531064E-3</v>
      </c>
      <c r="F2" s="36"/>
      <c r="G2" s="36"/>
      <c r="J2" s="29">
        <f>0.8525*J1+0.151-0.0035</f>
        <v>0.14749999999999999</v>
      </c>
      <c r="K2" s="26" t="s">
        <v>60</v>
      </c>
      <c r="N2" s="82"/>
      <c r="O2" s="82"/>
      <c r="P2" s="82"/>
      <c r="Q2" s="82"/>
      <c r="R2" s="83"/>
      <c r="S2" s="82"/>
      <c r="T2" s="82"/>
      <c r="U2" s="82"/>
    </row>
    <row r="3" spans="1:21" ht="13.8" thickBot="1" x14ac:dyDescent="0.3">
      <c r="A3" s="270" t="s">
        <v>365</v>
      </c>
      <c r="C3" s="41">
        <f>HLOOKUP($F$1,$D$62:$U$113,(B3+1))</f>
        <v>3</v>
      </c>
      <c r="D3" s="41">
        <f>HLOOKUP($D$2,$D$61:$U$113,(B3+2))</f>
        <v>4</v>
      </c>
      <c r="E3" s="26">
        <f>D3-C3</f>
        <v>1</v>
      </c>
      <c r="F3" s="26">
        <f>IF(E3=0,1,E2/E3)</f>
        <v>2.5980762113531064E-3</v>
      </c>
      <c r="G3" s="32">
        <f>C3+(E3*F3)</f>
        <v>3.0025980762113531</v>
      </c>
      <c r="J3" s="31"/>
      <c r="N3" s="82">
        <f>-SQRT(1-N1^2)</f>
        <v>-9.9874921777190678E-2</v>
      </c>
      <c r="O3" s="82" t="s">
        <v>565</v>
      </c>
      <c r="P3" s="82" t="s">
        <v>567</v>
      </c>
      <c r="Q3" s="82"/>
      <c r="R3" s="82"/>
      <c r="S3" s="82"/>
      <c r="T3" s="82"/>
      <c r="U3" s="82"/>
    </row>
    <row r="4" spans="1:21" ht="13.8" thickBot="1" x14ac:dyDescent="0.3">
      <c r="A4" s="31" t="s">
        <v>90</v>
      </c>
      <c r="B4" s="26">
        <v>1</v>
      </c>
      <c r="C4" s="302">
        <f t="shared" ref="C4:C53" si="0">HLOOKUP($F$1,$D$62:$U$113,(B4+1))</f>
        <v>4</v>
      </c>
      <c r="D4" s="302">
        <f t="shared" ref="D4:D53" si="1">HLOOKUP($D$2,$D$61:$U$113,(B4+2))</f>
        <v>5</v>
      </c>
      <c r="G4" s="27">
        <v>100</v>
      </c>
      <c r="H4" s="81">
        <f>J18</f>
        <v>0</v>
      </c>
      <c r="I4" s="26" t="s">
        <v>53</v>
      </c>
      <c r="J4" s="34">
        <f>Drives!X25</f>
        <v>0</v>
      </c>
      <c r="K4" s="54" t="s">
        <v>142</v>
      </c>
      <c r="N4" s="82"/>
      <c r="O4" s="82"/>
      <c r="P4" s="82"/>
      <c r="Q4" s="82"/>
      <c r="R4" s="82"/>
      <c r="S4" s="82"/>
      <c r="T4" s="82"/>
      <c r="U4" s="82"/>
    </row>
    <row r="5" spans="1:21" ht="13.8" thickBot="1" x14ac:dyDescent="0.3">
      <c r="A5" s="31"/>
      <c r="B5" s="26">
        <v>2</v>
      </c>
      <c r="C5" s="52">
        <f t="shared" si="0"/>
        <v>0.28619552442517132</v>
      </c>
      <c r="D5" s="52">
        <f t="shared" si="1"/>
        <v>0.28619552442517132</v>
      </c>
      <c r="E5" s="48">
        <f t="shared" ref="E5:E53" si="2">D5-C5</f>
        <v>0</v>
      </c>
      <c r="F5" s="48">
        <f t="shared" ref="F5:F53" si="3">E5*$F$3</f>
        <v>0</v>
      </c>
      <c r="G5" s="48">
        <f t="shared" ref="G5:G53" si="4">C5+F5</f>
        <v>0.28619552442517132</v>
      </c>
      <c r="H5" s="30">
        <f>J$2*G5*H$4/100</f>
        <v>0</v>
      </c>
      <c r="J5" s="49">
        <f>Drives!Y25</f>
        <v>0</v>
      </c>
      <c r="K5" s="54" t="s">
        <v>143</v>
      </c>
      <c r="N5" s="82"/>
      <c r="O5" s="82"/>
      <c r="P5" s="82"/>
      <c r="Q5" s="82"/>
      <c r="R5" s="82"/>
      <c r="S5" s="82"/>
      <c r="T5" s="82"/>
      <c r="U5" s="82"/>
    </row>
    <row r="6" spans="1:21" ht="13.8" thickBot="1" x14ac:dyDescent="0.3">
      <c r="A6" s="273" t="s">
        <v>572</v>
      </c>
      <c r="B6" s="26">
        <v>3</v>
      </c>
      <c r="C6" s="52">
        <f t="shared" si="0"/>
        <v>3.9331378172503512E-2</v>
      </c>
      <c r="D6" s="52">
        <f t="shared" si="1"/>
        <v>3.9331378172503512E-2</v>
      </c>
      <c r="E6" s="48">
        <f t="shared" si="2"/>
        <v>0</v>
      </c>
      <c r="F6" s="48">
        <f t="shared" si="3"/>
        <v>0</v>
      </c>
      <c r="G6" s="48">
        <f t="shared" si="4"/>
        <v>3.9331378172503512E-2</v>
      </c>
      <c r="H6" s="30">
        <f t="shared" ref="H6:H53" si="5">J$2*G6*H$4/100</f>
        <v>0</v>
      </c>
    </row>
    <row r="7" spans="1:21" ht="13.8" thickBot="1" x14ac:dyDescent="0.3">
      <c r="A7" s="270" t="s">
        <v>95</v>
      </c>
      <c r="B7" s="26">
        <v>4</v>
      </c>
      <c r="C7" s="52">
        <f t="shared" si="0"/>
        <v>0.25832237935091329</v>
      </c>
      <c r="D7" s="52">
        <f t="shared" si="1"/>
        <v>0.25832237935091329</v>
      </c>
      <c r="E7" s="48">
        <f t="shared" si="2"/>
        <v>0</v>
      </c>
      <c r="F7" s="48">
        <f t="shared" si="3"/>
        <v>0</v>
      </c>
      <c r="G7" s="48">
        <f t="shared" si="4"/>
        <v>0.25832237935091329</v>
      </c>
      <c r="H7" s="30">
        <f t="shared" si="5"/>
        <v>0</v>
      </c>
      <c r="J7" s="34">
        <f>Instructions!E200</f>
        <v>-35</v>
      </c>
      <c r="K7" s="54" t="s">
        <v>144</v>
      </c>
    </row>
    <row r="8" spans="1:21" x14ac:dyDescent="0.25">
      <c r="A8" s="54"/>
      <c r="B8" s="26">
        <v>5</v>
      </c>
      <c r="C8" s="52">
        <f t="shared" si="0"/>
        <v>4.5719220119753627</v>
      </c>
      <c r="D8" s="52">
        <f t="shared" si="1"/>
        <v>4.5719220119753627</v>
      </c>
      <c r="E8" s="48">
        <f t="shared" si="2"/>
        <v>0</v>
      </c>
      <c r="F8" s="48">
        <f t="shared" si="3"/>
        <v>0</v>
      </c>
      <c r="G8" s="48">
        <f t="shared" si="4"/>
        <v>4.5719220119753627</v>
      </c>
      <c r="H8" s="30">
        <f t="shared" si="5"/>
        <v>0</v>
      </c>
      <c r="J8" s="29">
        <f>J7*J4/100</f>
        <v>0</v>
      </c>
      <c r="K8" s="54" t="s">
        <v>409</v>
      </c>
    </row>
    <row r="9" spans="1:21" x14ac:dyDescent="0.25">
      <c r="A9" s="54"/>
      <c r="B9" s="26">
        <v>6</v>
      </c>
      <c r="C9" s="52">
        <f t="shared" si="0"/>
        <v>1.7665872576506276E-2</v>
      </c>
      <c r="D9" s="52">
        <f t="shared" si="1"/>
        <v>1.7665872576506276E-2</v>
      </c>
      <c r="E9" s="48">
        <f t="shared" si="2"/>
        <v>0</v>
      </c>
      <c r="F9" s="48">
        <f t="shared" si="3"/>
        <v>0</v>
      </c>
      <c r="G9" s="48">
        <f t="shared" si="4"/>
        <v>1.7665872576506276E-2</v>
      </c>
      <c r="H9" s="30">
        <f t="shared" si="5"/>
        <v>0</v>
      </c>
      <c r="J9" s="29"/>
    </row>
    <row r="10" spans="1:21" x14ac:dyDescent="0.25">
      <c r="B10" s="26">
        <v>7</v>
      </c>
      <c r="C10" s="52">
        <f t="shared" si="0"/>
        <v>3.2679428242483879</v>
      </c>
      <c r="D10" s="52">
        <f t="shared" si="1"/>
        <v>3.2679428242483879</v>
      </c>
      <c r="E10" s="48">
        <f t="shared" si="2"/>
        <v>0</v>
      </c>
      <c r="F10" s="48">
        <f t="shared" si="3"/>
        <v>0</v>
      </c>
      <c r="G10" s="48">
        <f t="shared" si="4"/>
        <v>3.2679428242483879</v>
      </c>
      <c r="H10" s="30">
        <f t="shared" si="5"/>
        <v>0</v>
      </c>
      <c r="J10" s="29">
        <f>J8</f>
        <v>0</v>
      </c>
      <c r="K10" s="54" t="s">
        <v>145</v>
      </c>
    </row>
    <row r="11" spans="1:21" ht="13.8" thickBot="1" x14ac:dyDescent="0.3">
      <c r="B11" s="26">
        <v>8</v>
      </c>
      <c r="C11" s="52">
        <f t="shared" si="0"/>
        <v>1.7087824401129107E-2</v>
      </c>
      <c r="D11" s="52">
        <f t="shared" si="1"/>
        <v>1.7087824401129107E-2</v>
      </c>
      <c r="E11" s="48">
        <f t="shared" si="2"/>
        <v>0</v>
      </c>
      <c r="F11" s="48">
        <f t="shared" si="3"/>
        <v>0</v>
      </c>
      <c r="G11" s="48">
        <f t="shared" si="4"/>
        <v>1.7087824401129107E-2</v>
      </c>
      <c r="H11" s="30">
        <f t="shared" si="5"/>
        <v>0</v>
      </c>
      <c r="J11" s="26">
        <f>N3*J10</f>
        <v>0</v>
      </c>
      <c r="K11" s="54" t="s">
        <v>146</v>
      </c>
    </row>
    <row r="12" spans="1:21" ht="13.8" thickBot="1" x14ac:dyDescent="0.3">
      <c r="B12" s="26">
        <v>9</v>
      </c>
      <c r="C12" s="52">
        <f t="shared" si="0"/>
        <v>8.3556647673518874E-3</v>
      </c>
      <c r="D12" s="52">
        <f t="shared" si="1"/>
        <v>8.3556647673518874E-3</v>
      </c>
      <c r="E12" s="48">
        <f t="shared" si="2"/>
        <v>0</v>
      </c>
      <c r="F12" s="48">
        <f t="shared" si="3"/>
        <v>0</v>
      </c>
      <c r="G12" s="48">
        <f t="shared" si="4"/>
        <v>8.3556647673518874E-3</v>
      </c>
      <c r="H12" s="30">
        <f t="shared" si="5"/>
        <v>0</v>
      </c>
      <c r="J12" s="256">
        <f>J10-J1*(J10-J11)</f>
        <v>0</v>
      </c>
      <c r="K12" s="54" t="s">
        <v>147</v>
      </c>
    </row>
    <row r="13" spans="1:21" ht="13.8" thickBot="1" x14ac:dyDescent="0.3">
      <c r="B13" s="26">
        <v>10</v>
      </c>
      <c r="C13" s="52">
        <f t="shared" si="0"/>
        <v>4.7045176242947583E-3</v>
      </c>
      <c r="D13" s="52">
        <f t="shared" si="1"/>
        <v>4.7045176242947583E-3</v>
      </c>
      <c r="E13" s="48">
        <f t="shared" si="2"/>
        <v>0</v>
      </c>
      <c r="F13" s="48">
        <f t="shared" si="3"/>
        <v>0</v>
      </c>
      <c r="G13" s="48">
        <f t="shared" si="4"/>
        <v>4.7045176242947583E-3</v>
      </c>
      <c r="H13" s="30">
        <f t="shared" si="5"/>
        <v>0</v>
      </c>
      <c r="J13" s="29"/>
    </row>
    <row r="14" spans="1:21" ht="13.8" thickBot="1" x14ac:dyDescent="0.3">
      <c r="B14" s="26">
        <v>11</v>
      </c>
      <c r="C14" s="52">
        <f t="shared" si="0"/>
        <v>3.0368216090341078</v>
      </c>
      <c r="D14" s="52">
        <f t="shared" si="1"/>
        <v>3.0368216090341078</v>
      </c>
      <c r="E14" s="48">
        <f t="shared" si="2"/>
        <v>0</v>
      </c>
      <c r="F14" s="48">
        <f t="shared" si="3"/>
        <v>0</v>
      </c>
      <c r="G14" s="48">
        <f t="shared" si="4"/>
        <v>3.0368216090341078</v>
      </c>
      <c r="H14" s="30">
        <f t="shared" si="5"/>
        <v>0</v>
      </c>
      <c r="J14" s="34">
        <f>Drives!AN25</f>
        <v>0</v>
      </c>
      <c r="K14" s="54" t="s">
        <v>150</v>
      </c>
    </row>
    <row r="15" spans="1:21" x14ac:dyDescent="0.25">
      <c r="B15" s="26">
        <v>12</v>
      </c>
      <c r="C15" s="52">
        <f t="shared" si="0"/>
        <v>2.941551171915959E-3</v>
      </c>
      <c r="D15" s="52">
        <f t="shared" si="1"/>
        <v>2.941551171915959E-3</v>
      </c>
      <c r="E15" s="48">
        <f t="shared" si="2"/>
        <v>0</v>
      </c>
      <c r="F15" s="48">
        <f t="shared" si="3"/>
        <v>0</v>
      </c>
      <c r="G15" s="48">
        <f t="shared" si="4"/>
        <v>2.941551171915959E-3</v>
      </c>
      <c r="H15" s="30">
        <f t="shared" si="5"/>
        <v>0</v>
      </c>
      <c r="J15" s="29">
        <f>J1*J14</f>
        <v>0</v>
      </c>
      <c r="K15" s="54" t="s">
        <v>151</v>
      </c>
    </row>
    <row r="16" spans="1:21" x14ac:dyDescent="0.25">
      <c r="B16" s="26">
        <v>13</v>
      </c>
      <c r="C16" s="52">
        <f t="shared" si="0"/>
        <v>1.9570846227387695</v>
      </c>
      <c r="D16" s="52">
        <f t="shared" si="1"/>
        <v>1.9570846227387695</v>
      </c>
      <c r="E16" s="48">
        <f t="shared" si="2"/>
        <v>0</v>
      </c>
      <c r="F16" s="48">
        <f t="shared" si="3"/>
        <v>0</v>
      </c>
      <c r="G16" s="48">
        <f t="shared" si="4"/>
        <v>1.9570846227387695</v>
      </c>
      <c r="H16" s="30">
        <f t="shared" si="5"/>
        <v>0</v>
      </c>
    </row>
    <row r="17" spans="2:11" x14ac:dyDescent="0.25">
      <c r="B17" s="26">
        <v>14</v>
      </c>
      <c r="C17" s="52">
        <f t="shared" si="0"/>
        <v>1.0431680962561403E-2</v>
      </c>
      <c r="D17" s="52">
        <f t="shared" si="1"/>
        <v>1.0431680962561403E-2</v>
      </c>
      <c r="E17" s="48">
        <f t="shared" si="2"/>
        <v>0</v>
      </c>
      <c r="F17" s="48">
        <f t="shared" si="3"/>
        <v>0</v>
      </c>
      <c r="G17" s="48">
        <f t="shared" si="4"/>
        <v>1.0431680962561403E-2</v>
      </c>
      <c r="H17" s="30">
        <f t="shared" si="5"/>
        <v>0</v>
      </c>
      <c r="J17" s="277">
        <f>SQRT(SUMSQ(J11,J14))</f>
        <v>0</v>
      </c>
      <c r="K17" s="54" t="s">
        <v>149</v>
      </c>
    </row>
    <row r="18" spans="2:11" x14ac:dyDescent="0.25">
      <c r="B18" s="26">
        <v>15</v>
      </c>
      <c r="C18" s="52">
        <f t="shared" si="0"/>
        <v>1.9438259438821566E-3</v>
      </c>
      <c r="D18" s="52">
        <f t="shared" si="1"/>
        <v>1.9438259438821566E-3</v>
      </c>
      <c r="E18" s="48">
        <f t="shared" si="2"/>
        <v>0</v>
      </c>
      <c r="F18" s="48">
        <f t="shared" si="3"/>
        <v>0</v>
      </c>
      <c r="G18" s="48">
        <f t="shared" si="4"/>
        <v>1.9438259438821566E-3</v>
      </c>
      <c r="H18" s="30">
        <f t="shared" si="5"/>
        <v>0</v>
      </c>
      <c r="J18" s="277">
        <f>SQRT(SUMSQ(J12,J15))</f>
        <v>0</v>
      </c>
      <c r="K18" s="54" t="s">
        <v>148</v>
      </c>
    </row>
    <row r="19" spans="2:11" x14ac:dyDescent="0.25">
      <c r="B19" s="26">
        <v>16</v>
      </c>
      <c r="C19" s="52">
        <f t="shared" si="0"/>
        <v>8.7299806581674182E-3</v>
      </c>
      <c r="D19" s="52">
        <f t="shared" si="1"/>
        <v>8.7299806581674182E-3</v>
      </c>
      <c r="E19" s="48">
        <f t="shared" si="2"/>
        <v>0</v>
      </c>
      <c r="F19" s="48">
        <f t="shared" si="3"/>
        <v>0</v>
      </c>
      <c r="G19" s="48">
        <f t="shared" si="4"/>
        <v>8.7299806581674182E-3</v>
      </c>
      <c r="H19" s="30">
        <f t="shared" si="5"/>
        <v>0</v>
      </c>
    </row>
    <row r="20" spans="2:11" x14ac:dyDescent="0.25">
      <c r="B20" s="26">
        <v>17</v>
      </c>
      <c r="C20" s="52">
        <f t="shared" si="0"/>
        <v>0.97556741973907035</v>
      </c>
      <c r="D20" s="52">
        <f t="shared" si="1"/>
        <v>0.97556741973907035</v>
      </c>
      <c r="E20" s="48">
        <f t="shared" si="2"/>
        <v>0</v>
      </c>
      <c r="F20" s="48">
        <f t="shared" si="3"/>
        <v>0</v>
      </c>
      <c r="G20" s="48">
        <f t="shared" si="4"/>
        <v>0.97556741973907035</v>
      </c>
      <c r="H20" s="30">
        <f t="shared" si="5"/>
        <v>0</v>
      </c>
      <c r="J20" s="29">
        <f>H55</f>
        <v>0</v>
      </c>
      <c r="K20" s="54" t="s">
        <v>152</v>
      </c>
    </row>
    <row r="21" spans="2:11" x14ac:dyDescent="0.25">
      <c r="B21" s="26">
        <v>18</v>
      </c>
      <c r="C21" s="52">
        <f t="shared" si="0"/>
        <v>2.6049046372231049E-3</v>
      </c>
      <c r="D21" s="52">
        <f t="shared" si="1"/>
        <v>2.6049046372231049E-3</v>
      </c>
      <c r="E21" s="48">
        <f t="shared" si="2"/>
        <v>0</v>
      </c>
      <c r="F21" s="48">
        <f t="shared" si="3"/>
        <v>0</v>
      </c>
      <c r="G21" s="48">
        <f t="shared" si="4"/>
        <v>2.6049046372231049E-3</v>
      </c>
      <c r="H21" s="30">
        <f t="shared" si="5"/>
        <v>0</v>
      </c>
      <c r="J21" s="29"/>
    </row>
    <row r="22" spans="2:11" x14ac:dyDescent="0.25">
      <c r="B22" s="26">
        <v>19</v>
      </c>
      <c r="C22" s="52">
        <f t="shared" si="0"/>
        <v>0.91669496793312655</v>
      </c>
      <c r="D22" s="52">
        <f t="shared" si="1"/>
        <v>0.91669496793312655</v>
      </c>
      <c r="E22" s="48">
        <f t="shared" si="2"/>
        <v>0</v>
      </c>
      <c r="F22" s="48">
        <f t="shared" si="3"/>
        <v>0</v>
      </c>
      <c r="G22" s="48">
        <f t="shared" si="4"/>
        <v>0.91669496793312655</v>
      </c>
      <c r="H22" s="30">
        <f t="shared" si="5"/>
        <v>0</v>
      </c>
      <c r="J22" s="29">
        <f>H56</f>
        <v>0</v>
      </c>
      <c r="K22" s="54" t="s">
        <v>153</v>
      </c>
    </row>
    <row r="23" spans="2:11" x14ac:dyDescent="0.25">
      <c r="B23" s="26">
        <v>20</v>
      </c>
      <c r="C23" s="52">
        <f t="shared" si="0"/>
        <v>3.435859316573225E-3</v>
      </c>
      <c r="D23" s="52">
        <f t="shared" si="1"/>
        <v>3.435859316573225E-3</v>
      </c>
      <c r="E23" s="48">
        <f t="shared" si="2"/>
        <v>0</v>
      </c>
      <c r="F23" s="48">
        <f t="shared" si="3"/>
        <v>0</v>
      </c>
      <c r="G23" s="48">
        <f t="shared" si="4"/>
        <v>3.435859316573225E-3</v>
      </c>
      <c r="H23" s="30">
        <f t="shared" si="5"/>
        <v>0</v>
      </c>
    </row>
    <row r="24" spans="2:11" x14ac:dyDescent="0.25">
      <c r="B24" s="26">
        <v>21</v>
      </c>
      <c r="C24" s="52">
        <f t="shared" si="0"/>
        <v>1.5447923339037474E-3</v>
      </c>
      <c r="D24" s="52">
        <f t="shared" si="1"/>
        <v>1.5447923339037474E-3</v>
      </c>
      <c r="E24" s="48">
        <f t="shared" si="2"/>
        <v>0</v>
      </c>
      <c r="F24" s="48">
        <f t="shared" si="3"/>
        <v>0</v>
      </c>
      <c r="G24" s="48">
        <f t="shared" si="4"/>
        <v>1.5447923339037474E-3</v>
      </c>
      <c r="H24" s="30">
        <f t="shared" si="5"/>
        <v>0</v>
      </c>
      <c r="J24" s="32">
        <f>IF(J18=0,0,100*J20/J18)</f>
        <v>0</v>
      </c>
      <c r="K24" s="54" t="s">
        <v>154</v>
      </c>
    </row>
    <row r="25" spans="2:11" x14ac:dyDescent="0.25">
      <c r="B25" s="26">
        <v>22</v>
      </c>
      <c r="C25" s="52">
        <f t="shared" si="0"/>
        <v>5.2234768930876927E-3</v>
      </c>
      <c r="D25" s="52">
        <f t="shared" si="1"/>
        <v>5.2234768930876927E-3</v>
      </c>
      <c r="E25" s="48">
        <f t="shared" si="2"/>
        <v>0</v>
      </c>
      <c r="F25" s="48">
        <f t="shared" si="3"/>
        <v>0</v>
      </c>
      <c r="G25" s="48">
        <f t="shared" si="4"/>
        <v>5.2234768930876927E-3</v>
      </c>
      <c r="H25" s="30">
        <f t="shared" si="5"/>
        <v>0</v>
      </c>
    </row>
    <row r="26" spans="2:11" x14ac:dyDescent="0.25">
      <c r="B26" s="26">
        <v>23</v>
      </c>
      <c r="C26" s="52">
        <f t="shared" si="0"/>
        <v>0.54728015999698587</v>
      </c>
      <c r="D26" s="52">
        <f t="shared" si="1"/>
        <v>0.54728015999698587</v>
      </c>
      <c r="E26" s="48">
        <f t="shared" si="2"/>
        <v>0</v>
      </c>
      <c r="F26" s="48">
        <f t="shared" si="3"/>
        <v>0</v>
      </c>
      <c r="G26" s="48">
        <f t="shared" si="4"/>
        <v>0.54728015999698587</v>
      </c>
      <c r="H26" s="30">
        <f t="shared" si="5"/>
        <v>0</v>
      </c>
    </row>
    <row r="27" spans="2:11" x14ac:dyDescent="0.25">
      <c r="B27" s="26">
        <v>24</v>
      </c>
      <c r="C27" s="52">
        <f t="shared" si="0"/>
        <v>7.3680970634069551E-4</v>
      </c>
      <c r="D27" s="52">
        <f t="shared" si="1"/>
        <v>7.3680970634069551E-4</v>
      </c>
      <c r="E27" s="48">
        <f t="shared" si="2"/>
        <v>0</v>
      </c>
      <c r="F27" s="48">
        <f t="shared" si="3"/>
        <v>0</v>
      </c>
      <c r="G27" s="48">
        <f t="shared" si="4"/>
        <v>7.3680970634069551E-4</v>
      </c>
      <c r="H27" s="30">
        <f t="shared" si="5"/>
        <v>0</v>
      </c>
    </row>
    <row r="28" spans="2:11" x14ac:dyDescent="0.25">
      <c r="B28" s="26">
        <v>25</v>
      </c>
      <c r="C28" s="52">
        <f t="shared" si="0"/>
        <v>0.43940078480783862</v>
      </c>
      <c r="D28" s="52">
        <f t="shared" si="1"/>
        <v>0.43940078480783862</v>
      </c>
      <c r="E28" s="48">
        <f t="shared" si="2"/>
        <v>0</v>
      </c>
      <c r="F28" s="48">
        <f t="shared" si="3"/>
        <v>0</v>
      </c>
      <c r="G28" s="48">
        <f t="shared" si="4"/>
        <v>0.43940078480783862</v>
      </c>
      <c r="H28" s="30">
        <f t="shared" si="5"/>
        <v>0</v>
      </c>
    </row>
    <row r="29" spans="2:11" x14ac:dyDescent="0.25">
      <c r="B29" s="26">
        <v>26</v>
      </c>
      <c r="C29" s="52">
        <f t="shared" si="0"/>
        <v>3.7751212107922064E-3</v>
      </c>
      <c r="D29" s="52">
        <f t="shared" si="1"/>
        <v>3.7751212107922064E-3</v>
      </c>
      <c r="E29" s="48">
        <f t="shared" si="2"/>
        <v>0</v>
      </c>
      <c r="F29" s="48">
        <f t="shared" si="3"/>
        <v>0</v>
      </c>
      <c r="G29" s="48">
        <f t="shared" si="4"/>
        <v>3.7751212107922064E-3</v>
      </c>
      <c r="H29" s="30">
        <f t="shared" si="5"/>
        <v>0</v>
      </c>
    </row>
    <row r="30" spans="2:11" x14ac:dyDescent="0.25">
      <c r="B30" s="26">
        <v>27</v>
      </c>
      <c r="C30" s="52">
        <f t="shared" si="0"/>
        <v>1.4495834471926639E-3</v>
      </c>
      <c r="D30" s="52">
        <f t="shared" si="1"/>
        <v>1.4495834471926639E-3</v>
      </c>
      <c r="E30" s="48">
        <f t="shared" si="2"/>
        <v>0</v>
      </c>
      <c r="F30" s="48">
        <f t="shared" si="3"/>
        <v>0</v>
      </c>
      <c r="G30" s="48">
        <f t="shared" si="4"/>
        <v>1.4495834471926639E-3</v>
      </c>
      <c r="H30" s="30">
        <f t="shared" si="5"/>
        <v>0</v>
      </c>
    </row>
    <row r="31" spans="2:11" x14ac:dyDescent="0.25">
      <c r="B31" s="26">
        <v>28</v>
      </c>
      <c r="C31" s="52">
        <f t="shared" si="0"/>
        <v>2.3110476540801942E-3</v>
      </c>
      <c r="D31" s="52">
        <f t="shared" si="1"/>
        <v>2.3110476540801942E-3</v>
      </c>
      <c r="E31" s="48">
        <f t="shared" si="2"/>
        <v>0</v>
      </c>
      <c r="F31" s="48">
        <f t="shared" si="3"/>
        <v>0</v>
      </c>
      <c r="G31" s="48">
        <f t="shared" si="4"/>
        <v>2.3110476540801942E-3</v>
      </c>
      <c r="H31" s="30">
        <f t="shared" si="5"/>
        <v>0</v>
      </c>
    </row>
    <row r="32" spans="2:11" x14ac:dyDescent="0.25">
      <c r="B32" s="26">
        <v>29</v>
      </c>
      <c r="C32" s="52">
        <f t="shared" si="0"/>
        <v>0.3963313525386255</v>
      </c>
      <c r="D32" s="52">
        <f t="shared" si="1"/>
        <v>0.3963313525386255</v>
      </c>
      <c r="E32" s="48">
        <f t="shared" si="2"/>
        <v>0</v>
      </c>
      <c r="F32" s="48">
        <f t="shared" si="3"/>
        <v>0</v>
      </c>
      <c r="G32" s="48">
        <f t="shared" si="4"/>
        <v>0.3963313525386255</v>
      </c>
      <c r="H32" s="30">
        <f t="shared" si="5"/>
        <v>0</v>
      </c>
    </row>
    <row r="33" spans="2:8" x14ac:dyDescent="0.25">
      <c r="B33" s="26">
        <v>30</v>
      </c>
      <c r="C33" s="52">
        <f t="shared" si="0"/>
        <v>1.1456898686147282E-3</v>
      </c>
      <c r="D33" s="52">
        <f t="shared" si="1"/>
        <v>1.1456898686147282E-3</v>
      </c>
      <c r="E33" s="48">
        <f t="shared" si="2"/>
        <v>0</v>
      </c>
      <c r="F33" s="48">
        <f t="shared" si="3"/>
        <v>0</v>
      </c>
      <c r="G33" s="48">
        <f t="shared" si="4"/>
        <v>1.1456898686147282E-3</v>
      </c>
      <c r="H33" s="30">
        <f t="shared" si="5"/>
        <v>0</v>
      </c>
    </row>
    <row r="34" spans="2:8" x14ac:dyDescent="0.25">
      <c r="B34" s="26">
        <v>31</v>
      </c>
      <c r="C34" s="52">
        <f t="shared" si="0"/>
        <v>0.32607670833414099</v>
      </c>
      <c r="D34" s="52">
        <f t="shared" si="1"/>
        <v>0.32607670833414099</v>
      </c>
      <c r="E34" s="48">
        <f t="shared" si="2"/>
        <v>0</v>
      </c>
      <c r="F34" s="48">
        <f t="shared" si="3"/>
        <v>0</v>
      </c>
      <c r="G34" s="48">
        <f t="shared" si="4"/>
        <v>0.32607670833414099</v>
      </c>
      <c r="H34" s="30">
        <f t="shared" si="5"/>
        <v>0</v>
      </c>
    </row>
    <row r="35" spans="2:8" x14ac:dyDescent="0.25">
      <c r="B35" s="26">
        <v>32</v>
      </c>
      <c r="C35" s="52">
        <f t="shared" si="0"/>
        <v>3.8605744529385381E-3</v>
      </c>
      <c r="D35" s="52">
        <f t="shared" si="1"/>
        <v>3.8605744529385381E-3</v>
      </c>
      <c r="E35" s="48">
        <f t="shared" si="2"/>
        <v>0</v>
      </c>
      <c r="F35" s="48">
        <f t="shared" si="3"/>
        <v>0</v>
      </c>
      <c r="G35" s="48">
        <f t="shared" si="4"/>
        <v>3.8605744529385381E-3</v>
      </c>
      <c r="H35" s="30">
        <f t="shared" si="5"/>
        <v>0</v>
      </c>
    </row>
    <row r="36" spans="2:8" x14ac:dyDescent="0.25">
      <c r="B36" s="26">
        <v>33</v>
      </c>
      <c r="C36" s="52">
        <f t="shared" si="0"/>
        <v>3.4023321909248342E-4</v>
      </c>
      <c r="D36" s="52">
        <f t="shared" si="1"/>
        <v>3.4023321909248342E-4</v>
      </c>
      <c r="E36" s="48">
        <f t="shared" si="2"/>
        <v>0</v>
      </c>
      <c r="F36" s="48">
        <f t="shared" si="3"/>
        <v>0</v>
      </c>
      <c r="G36" s="48">
        <f t="shared" si="4"/>
        <v>3.4023321909248342E-4</v>
      </c>
      <c r="H36" s="30">
        <f t="shared" si="5"/>
        <v>0</v>
      </c>
    </row>
    <row r="37" spans="2:8" x14ac:dyDescent="0.25">
      <c r="B37" s="26">
        <v>34</v>
      </c>
      <c r="C37" s="52">
        <f t="shared" si="0"/>
        <v>3.8157489616518327E-3</v>
      </c>
      <c r="D37" s="52">
        <f t="shared" si="1"/>
        <v>3.8157489616518327E-3</v>
      </c>
      <c r="E37" s="48">
        <f t="shared" si="2"/>
        <v>0</v>
      </c>
      <c r="F37" s="48">
        <f t="shared" si="3"/>
        <v>0</v>
      </c>
      <c r="G37" s="48">
        <f t="shared" si="4"/>
        <v>3.8157489616518327E-3</v>
      </c>
      <c r="H37" s="30">
        <f t="shared" si="5"/>
        <v>0</v>
      </c>
    </row>
    <row r="38" spans="2:8" x14ac:dyDescent="0.25">
      <c r="B38" s="26">
        <v>35</v>
      </c>
      <c r="C38" s="52">
        <f t="shared" si="0"/>
        <v>0.24451630774160321</v>
      </c>
      <c r="D38" s="52">
        <f t="shared" si="1"/>
        <v>0.24451630774160321</v>
      </c>
      <c r="E38" s="48">
        <f t="shared" si="2"/>
        <v>0</v>
      </c>
      <c r="F38" s="48">
        <f t="shared" si="3"/>
        <v>0</v>
      </c>
      <c r="G38" s="48">
        <f t="shared" si="4"/>
        <v>0.24451630774160321</v>
      </c>
      <c r="H38" s="30">
        <f t="shared" si="5"/>
        <v>0</v>
      </c>
    </row>
    <row r="39" spans="2:8" x14ac:dyDescent="0.25">
      <c r="B39" s="26">
        <v>36</v>
      </c>
      <c r="C39" s="52">
        <f t="shared" si="0"/>
        <v>8.7250209878513821E-4</v>
      </c>
      <c r="D39" s="52">
        <f t="shared" si="1"/>
        <v>8.7250209878513821E-4</v>
      </c>
      <c r="E39" s="48">
        <f t="shared" si="2"/>
        <v>0</v>
      </c>
      <c r="F39" s="48">
        <f t="shared" si="3"/>
        <v>0</v>
      </c>
      <c r="G39" s="48">
        <f t="shared" si="4"/>
        <v>8.7250209878513821E-4</v>
      </c>
      <c r="H39" s="30">
        <f t="shared" si="5"/>
        <v>0</v>
      </c>
    </row>
    <row r="40" spans="2:8" x14ac:dyDescent="0.25">
      <c r="B40" s="26">
        <v>37</v>
      </c>
      <c r="C40" s="52">
        <f t="shared" si="0"/>
        <v>0.23543438946520875</v>
      </c>
      <c r="D40" s="52">
        <f t="shared" si="1"/>
        <v>0.23543438946520875</v>
      </c>
      <c r="E40" s="48">
        <f t="shared" si="2"/>
        <v>0</v>
      </c>
      <c r="F40" s="48">
        <f t="shared" si="3"/>
        <v>0</v>
      </c>
      <c r="G40" s="48">
        <f t="shared" si="4"/>
        <v>0.23543438946520875</v>
      </c>
      <c r="H40" s="30">
        <f t="shared" si="5"/>
        <v>0</v>
      </c>
    </row>
    <row r="41" spans="2:8" x14ac:dyDescent="0.25">
      <c r="B41" s="26">
        <v>38</v>
      </c>
      <c r="C41" s="52">
        <f t="shared" si="0"/>
        <v>1.6183478666675756E-3</v>
      </c>
      <c r="D41" s="52">
        <f t="shared" si="1"/>
        <v>1.6183478666675756E-3</v>
      </c>
      <c r="E41" s="48">
        <f t="shared" si="2"/>
        <v>0</v>
      </c>
      <c r="F41" s="48">
        <f t="shared" si="3"/>
        <v>0</v>
      </c>
      <c r="G41" s="48">
        <f t="shared" si="4"/>
        <v>1.6183478666675756E-3</v>
      </c>
      <c r="H41" s="30">
        <f t="shared" si="5"/>
        <v>0</v>
      </c>
    </row>
    <row r="42" spans="2:8" x14ac:dyDescent="0.25">
      <c r="B42" s="26">
        <v>39</v>
      </c>
      <c r="C42" s="52">
        <f t="shared" si="0"/>
        <v>9.185567866939635E-4</v>
      </c>
      <c r="D42" s="52">
        <f t="shared" si="1"/>
        <v>9.185567866939635E-4</v>
      </c>
      <c r="E42" s="48">
        <f t="shared" si="2"/>
        <v>0</v>
      </c>
      <c r="F42" s="48">
        <f t="shared" si="3"/>
        <v>0</v>
      </c>
      <c r="G42" s="48">
        <f t="shared" si="4"/>
        <v>9.185567866939635E-4</v>
      </c>
      <c r="H42" s="30">
        <f t="shared" si="5"/>
        <v>0</v>
      </c>
    </row>
    <row r="43" spans="2:8" x14ac:dyDescent="0.25">
      <c r="B43" s="26">
        <v>40</v>
      </c>
      <c r="C43" s="52">
        <f t="shared" si="0"/>
        <v>2.1858846677240097E-3</v>
      </c>
      <c r="D43" s="52">
        <f t="shared" si="1"/>
        <v>2.1858846677240097E-3</v>
      </c>
      <c r="E43" s="48">
        <f t="shared" si="2"/>
        <v>0</v>
      </c>
      <c r="F43" s="48">
        <f t="shared" si="3"/>
        <v>0</v>
      </c>
      <c r="G43" s="48">
        <f t="shared" si="4"/>
        <v>2.1858846677240097E-3</v>
      </c>
      <c r="H43" s="30">
        <f t="shared" si="5"/>
        <v>0</v>
      </c>
    </row>
    <row r="44" spans="2:8" x14ac:dyDescent="0.25">
      <c r="B44" s="26">
        <v>41</v>
      </c>
      <c r="C44" s="52">
        <f t="shared" si="0"/>
        <v>0.17547159923874317</v>
      </c>
      <c r="D44" s="52">
        <f t="shared" si="1"/>
        <v>0.17547159923874317</v>
      </c>
      <c r="E44" s="48">
        <f t="shared" si="2"/>
        <v>0</v>
      </c>
      <c r="F44" s="48">
        <f t="shared" si="3"/>
        <v>0</v>
      </c>
      <c r="G44" s="48">
        <f t="shared" si="4"/>
        <v>0.17547159923874317</v>
      </c>
      <c r="H44" s="30">
        <f t="shared" si="5"/>
        <v>0</v>
      </c>
    </row>
    <row r="45" spans="2:8" x14ac:dyDescent="0.25">
      <c r="B45" s="26">
        <v>42</v>
      </c>
      <c r="C45" s="52">
        <f t="shared" si="0"/>
        <v>3.3318242250443119E-4</v>
      </c>
      <c r="D45" s="52">
        <f t="shared" si="1"/>
        <v>3.3318242250443119E-4</v>
      </c>
      <c r="E45" s="48">
        <f t="shared" si="2"/>
        <v>0</v>
      </c>
      <c r="F45" s="48">
        <f t="shared" si="3"/>
        <v>0</v>
      </c>
      <c r="G45" s="48">
        <f t="shared" si="4"/>
        <v>3.3318242250443119E-4</v>
      </c>
      <c r="H45" s="30">
        <f t="shared" si="5"/>
        <v>0</v>
      </c>
    </row>
    <row r="46" spans="2:8" x14ac:dyDescent="0.25">
      <c r="B46" s="26">
        <v>43</v>
      </c>
      <c r="C46" s="52">
        <f t="shared" si="0"/>
        <v>0.15608759842752892</v>
      </c>
      <c r="D46" s="52">
        <f t="shared" si="1"/>
        <v>0.15608759842752892</v>
      </c>
      <c r="E46" s="48">
        <f t="shared" si="2"/>
        <v>0</v>
      </c>
      <c r="F46" s="48">
        <f t="shared" si="3"/>
        <v>0</v>
      </c>
      <c r="G46" s="48">
        <f t="shared" si="4"/>
        <v>0.15608759842752892</v>
      </c>
      <c r="H46" s="30">
        <f t="shared" si="5"/>
        <v>0</v>
      </c>
    </row>
    <row r="47" spans="2:8" x14ac:dyDescent="0.25">
      <c r="B47" s="26">
        <v>44</v>
      </c>
      <c r="C47" s="52">
        <f t="shared" si="0"/>
        <v>2.5667229971283612E-3</v>
      </c>
      <c r="D47" s="52">
        <f t="shared" si="1"/>
        <v>2.5667229971283612E-3</v>
      </c>
      <c r="E47" s="48">
        <f t="shared" si="2"/>
        <v>0</v>
      </c>
      <c r="F47" s="48">
        <f t="shared" si="3"/>
        <v>0</v>
      </c>
      <c r="G47" s="48">
        <f t="shared" si="4"/>
        <v>2.5667229971283612E-3</v>
      </c>
      <c r="H47" s="30">
        <f t="shared" si="5"/>
        <v>0</v>
      </c>
    </row>
    <row r="48" spans="2:8" x14ac:dyDescent="0.25">
      <c r="B48" s="26">
        <v>45</v>
      </c>
      <c r="C48" s="52">
        <f t="shared" si="0"/>
        <v>4.8874784462613172E-4</v>
      </c>
      <c r="D48" s="52">
        <f t="shared" si="1"/>
        <v>4.8874784462613172E-4</v>
      </c>
      <c r="E48" s="48">
        <f t="shared" si="2"/>
        <v>0</v>
      </c>
      <c r="F48" s="48">
        <f t="shared" si="3"/>
        <v>0</v>
      </c>
      <c r="G48" s="48">
        <f t="shared" si="4"/>
        <v>4.8874784462613172E-4</v>
      </c>
      <c r="H48" s="30">
        <f t="shared" si="5"/>
        <v>0</v>
      </c>
    </row>
    <row r="49" spans="1:21" x14ac:dyDescent="0.25">
      <c r="B49" s="26">
        <v>46</v>
      </c>
      <c r="C49" s="52">
        <f t="shared" si="0"/>
        <v>1.9607183482972614E-3</v>
      </c>
      <c r="D49" s="52">
        <f t="shared" si="1"/>
        <v>1.9607183482972614E-3</v>
      </c>
      <c r="E49" s="48">
        <f t="shared" si="2"/>
        <v>0</v>
      </c>
      <c r="F49" s="48">
        <f t="shared" si="3"/>
        <v>0</v>
      </c>
      <c r="G49" s="48">
        <f t="shared" si="4"/>
        <v>1.9607183482972614E-3</v>
      </c>
      <c r="H49" s="30">
        <f t="shared" si="5"/>
        <v>0</v>
      </c>
    </row>
    <row r="50" spans="1:21" x14ac:dyDescent="0.25">
      <c r="B50" s="26">
        <v>47</v>
      </c>
      <c r="C50" s="52">
        <f t="shared" si="0"/>
        <v>0.14694847120206758</v>
      </c>
      <c r="D50" s="52">
        <f t="shared" si="1"/>
        <v>0.14694847120206758</v>
      </c>
      <c r="E50" s="48">
        <f t="shared" si="2"/>
        <v>0</v>
      </c>
      <c r="F50" s="48">
        <f t="shared" si="3"/>
        <v>0</v>
      </c>
      <c r="G50" s="48">
        <f t="shared" si="4"/>
        <v>0.14694847120206758</v>
      </c>
      <c r="H50" s="30">
        <f t="shared" si="5"/>
        <v>0</v>
      </c>
    </row>
    <row r="51" spans="1:21" x14ac:dyDescent="0.25">
      <c r="B51" s="26">
        <v>48</v>
      </c>
      <c r="C51" s="52">
        <f t="shared" si="0"/>
        <v>6.9770854637783025E-4</v>
      </c>
      <c r="D51" s="52">
        <f t="shared" si="1"/>
        <v>6.9770854637783025E-4</v>
      </c>
      <c r="E51" s="48">
        <f t="shared" si="2"/>
        <v>0</v>
      </c>
      <c r="F51" s="48">
        <f t="shared" si="3"/>
        <v>0</v>
      </c>
      <c r="G51" s="48">
        <f t="shared" si="4"/>
        <v>6.9770854637783025E-4</v>
      </c>
      <c r="H51" s="30">
        <f t="shared" si="5"/>
        <v>0</v>
      </c>
    </row>
    <row r="52" spans="1:21" x14ac:dyDescent="0.25">
      <c r="B52" s="26">
        <v>49</v>
      </c>
      <c r="C52" s="52">
        <f t="shared" si="0"/>
        <v>0.1285636927397576</v>
      </c>
      <c r="D52" s="52">
        <f t="shared" si="1"/>
        <v>0.1285636927397576</v>
      </c>
      <c r="E52" s="48">
        <f t="shared" si="2"/>
        <v>0</v>
      </c>
      <c r="F52" s="48">
        <f t="shared" si="3"/>
        <v>0</v>
      </c>
      <c r="G52" s="48">
        <f t="shared" si="4"/>
        <v>0.1285636927397576</v>
      </c>
      <c r="H52" s="30">
        <f t="shared" si="5"/>
        <v>0</v>
      </c>
    </row>
    <row r="53" spans="1:21" x14ac:dyDescent="0.25">
      <c r="B53" s="26">
        <v>50</v>
      </c>
      <c r="C53" s="52">
        <f t="shared" si="0"/>
        <v>1.9604515777626825E-3</v>
      </c>
      <c r="D53" s="52">
        <f t="shared" si="1"/>
        <v>1.9604515777626825E-3</v>
      </c>
      <c r="E53" s="48">
        <f t="shared" si="2"/>
        <v>0</v>
      </c>
      <c r="F53" s="48">
        <f t="shared" si="3"/>
        <v>0</v>
      </c>
      <c r="G53" s="48">
        <f t="shared" si="4"/>
        <v>1.9604515777626825E-3</v>
      </c>
      <c r="H53" s="30">
        <f t="shared" si="5"/>
        <v>0</v>
      </c>
    </row>
    <row r="54" spans="1:21" x14ac:dyDescent="0.25">
      <c r="C54" s="41"/>
      <c r="D54" s="41"/>
    </row>
    <row r="55" spans="1:21" x14ac:dyDescent="0.25">
      <c r="F55" s="26" t="s">
        <v>85</v>
      </c>
      <c r="G55" s="29">
        <f>SQRT(SUMSQ(G5:G53))</f>
        <v>6.8950808179798431</v>
      </c>
      <c r="H55" s="29">
        <f>SQRT(SUMSQ(H5:H53))</f>
        <v>0</v>
      </c>
      <c r="I55" s="26" t="s">
        <v>52</v>
      </c>
    </row>
    <row r="56" spans="1:21" x14ac:dyDescent="0.25">
      <c r="F56" s="26" t="s">
        <v>86</v>
      </c>
      <c r="G56" s="29">
        <f>SQRT(SUMSQ(G4:G53))</f>
        <v>100.23742883517352</v>
      </c>
      <c r="H56" s="29">
        <f>SQRT(SUMSQ(H4:H53))</f>
        <v>0</v>
      </c>
      <c r="I56" s="26" t="s">
        <v>54</v>
      </c>
    </row>
    <row r="57" spans="1:21" x14ac:dyDescent="0.25">
      <c r="G57" s="26" t="s">
        <v>87</v>
      </c>
      <c r="H57" s="26" t="s">
        <v>13</v>
      </c>
    </row>
    <row r="59" spans="1:21" ht="14.4" x14ac:dyDescent="0.3">
      <c r="A59" s="25" t="s">
        <v>63</v>
      </c>
      <c r="C59"/>
      <c r="D59"/>
      <c r="E59"/>
      <c r="F59"/>
      <c r="G59"/>
      <c r="H59"/>
      <c r="I59"/>
      <c r="J59"/>
      <c r="K59"/>
      <c r="L59"/>
      <c r="M59"/>
      <c r="N59"/>
      <c r="O59"/>
      <c r="P59"/>
      <c r="Q59"/>
      <c r="R59"/>
      <c r="S59"/>
      <c r="T59"/>
      <c r="U59"/>
    </row>
    <row r="60" spans="1:21" ht="14.4" x14ac:dyDescent="0.3">
      <c r="C60" s="1" t="s">
        <v>478</v>
      </c>
      <c r="D60" s="7">
        <f>100/D62</f>
        <v>1000</v>
      </c>
      <c r="E60" s="7">
        <f t="shared" ref="E60:U60" si="6">100/E62</f>
        <v>200</v>
      </c>
      <c r="F60" s="7">
        <f t="shared" si="6"/>
        <v>100</v>
      </c>
      <c r="G60" s="7">
        <f t="shared" si="6"/>
        <v>50</v>
      </c>
      <c r="H60" s="7">
        <f t="shared" si="6"/>
        <v>33.333333333333336</v>
      </c>
      <c r="I60" s="7">
        <f t="shared" si="6"/>
        <v>25</v>
      </c>
      <c r="J60" s="7">
        <f t="shared" si="6"/>
        <v>20</v>
      </c>
      <c r="K60" s="7">
        <f t="shared" si="6"/>
        <v>16.666666666666668</v>
      </c>
      <c r="L60" s="7">
        <f t="shared" si="6"/>
        <v>14.285714285714286</v>
      </c>
      <c r="M60" s="7">
        <f t="shared" si="6"/>
        <v>12.5</v>
      </c>
      <c r="N60" s="7">
        <f t="shared" si="6"/>
        <v>10</v>
      </c>
      <c r="O60" s="7">
        <f t="shared" si="6"/>
        <v>8.3333333333333339</v>
      </c>
      <c r="P60" s="7">
        <f t="shared" si="6"/>
        <v>7.1428571428571432</v>
      </c>
      <c r="Q60" s="7">
        <f t="shared" si="6"/>
        <v>5.5555555555555554</v>
      </c>
      <c r="R60" s="7">
        <f t="shared" si="6"/>
        <v>4.7619047619047619</v>
      </c>
      <c r="S60" s="7">
        <f t="shared" si="6"/>
        <v>1</v>
      </c>
      <c r="T60" s="7">
        <f t="shared" si="6"/>
        <v>0.1</v>
      </c>
      <c r="U60" s="7">
        <f t="shared" si="6"/>
        <v>0.01</v>
      </c>
    </row>
    <row r="61" spans="1:21" ht="14.4" x14ac:dyDescent="0.3">
      <c r="C61" s="1" t="s">
        <v>64</v>
      </c>
      <c r="D61">
        <v>0</v>
      </c>
      <c r="E61">
        <v>1</v>
      </c>
      <c r="F61">
        <v>2</v>
      </c>
      <c r="G61">
        <v>3</v>
      </c>
      <c r="H61">
        <v>4</v>
      </c>
      <c r="I61">
        <v>5</v>
      </c>
      <c r="J61">
        <v>6</v>
      </c>
      <c r="K61">
        <v>7</v>
      </c>
      <c r="L61">
        <v>8</v>
      </c>
      <c r="M61">
        <v>9</v>
      </c>
      <c r="N61">
        <v>10</v>
      </c>
      <c r="O61">
        <v>11</v>
      </c>
      <c r="P61">
        <v>12</v>
      </c>
      <c r="Q61">
        <v>13</v>
      </c>
      <c r="R61">
        <v>14</v>
      </c>
      <c r="S61">
        <v>15</v>
      </c>
      <c r="T61">
        <v>16</v>
      </c>
      <c r="U61">
        <v>17</v>
      </c>
    </row>
    <row r="62" spans="1:21" ht="14.4" x14ac:dyDescent="0.3">
      <c r="A62" s="26" t="s">
        <v>65</v>
      </c>
      <c r="B62" s="54"/>
      <c r="C62" s="216" t="s">
        <v>1</v>
      </c>
      <c r="D62" s="296">
        <v>0.1</v>
      </c>
      <c r="E62" s="296">
        <v>0.5</v>
      </c>
      <c r="F62" s="296">
        <v>1</v>
      </c>
      <c r="G62" s="296">
        <v>2</v>
      </c>
      <c r="H62" s="296">
        <v>3</v>
      </c>
      <c r="I62" s="296">
        <v>4</v>
      </c>
      <c r="J62" s="296">
        <v>5</v>
      </c>
      <c r="K62" s="296">
        <v>6</v>
      </c>
      <c r="L62" s="296">
        <v>7</v>
      </c>
      <c r="M62" s="296">
        <v>8</v>
      </c>
      <c r="N62" s="296">
        <v>10</v>
      </c>
      <c r="O62" s="296">
        <v>12</v>
      </c>
      <c r="P62" s="296">
        <v>14</v>
      </c>
      <c r="Q62" s="296">
        <v>18</v>
      </c>
      <c r="R62" s="296">
        <v>21</v>
      </c>
      <c r="S62" s="296">
        <v>100</v>
      </c>
      <c r="T62" s="296">
        <v>1000</v>
      </c>
      <c r="U62" s="296">
        <v>10000</v>
      </c>
    </row>
    <row r="63" spans="1:21" ht="14.4" x14ac:dyDescent="0.3">
      <c r="A63" s="31"/>
      <c r="C63" s="1" t="s">
        <v>64</v>
      </c>
      <c r="D63">
        <v>0</v>
      </c>
      <c r="E63">
        <v>1</v>
      </c>
      <c r="F63">
        <v>2</v>
      </c>
      <c r="G63">
        <v>3</v>
      </c>
      <c r="H63">
        <v>4</v>
      </c>
      <c r="I63">
        <v>5</v>
      </c>
      <c r="J63">
        <v>6</v>
      </c>
      <c r="K63">
        <v>7</v>
      </c>
      <c r="L63">
        <v>8</v>
      </c>
      <c r="M63">
        <v>9</v>
      </c>
      <c r="N63">
        <v>10</v>
      </c>
      <c r="O63">
        <v>11</v>
      </c>
      <c r="P63">
        <v>12</v>
      </c>
      <c r="Q63">
        <v>13</v>
      </c>
      <c r="R63">
        <v>14</v>
      </c>
      <c r="S63">
        <v>15</v>
      </c>
      <c r="T63">
        <v>16</v>
      </c>
      <c r="U63">
        <v>17</v>
      </c>
    </row>
    <row r="64" spans="1:21" ht="14.4" x14ac:dyDescent="0.3">
      <c r="A64" s="43">
        <v>2</v>
      </c>
      <c r="B64" s="43"/>
      <c r="C64"/>
      <c r="D64" s="298">
        <v>0.32933224115012466</v>
      </c>
      <c r="E64" s="298">
        <v>0.31535428582675035</v>
      </c>
      <c r="F64" s="298">
        <v>0.30141780811561159</v>
      </c>
      <c r="G64" s="298">
        <v>0.28743985279223727</v>
      </c>
      <c r="H64" s="298">
        <v>0.28619552442517132</v>
      </c>
      <c r="I64" s="298">
        <v>0.28619552442517132</v>
      </c>
      <c r="J64" s="298">
        <v>0.28619552442517132</v>
      </c>
      <c r="K64" s="298">
        <v>0.28619552442517132</v>
      </c>
      <c r="L64" s="298">
        <v>0.28619552442517132</v>
      </c>
      <c r="M64" s="298">
        <v>0.28619552442517132</v>
      </c>
      <c r="N64" s="298">
        <v>0.28619552442517132</v>
      </c>
      <c r="O64" s="298">
        <v>0.28619552442517132</v>
      </c>
      <c r="P64" s="298">
        <v>0.28619552442517132</v>
      </c>
      <c r="Q64" s="298">
        <v>0.28619552442517132</v>
      </c>
      <c r="R64" s="298">
        <v>0.28619552442517132</v>
      </c>
      <c r="S64" s="298">
        <v>0.28619552442517132</v>
      </c>
      <c r="T64" s="298">
        <v>0.28619552442517132</v>
      </c>
      <c r="U64" s="298">
        <v>0.28619552442517132</v>
      </c>
    </row>
    <row r="65" spans="1:21" ht="14.4" x14ac:dyDescent="0.3">
      <c r="A65" s="43">
        <v>3</v>
      </c>
      <c r="B65" s="43"/>
      <c r="C65"/>
      <c r="D65" s="298">
        <v>4.5259585897054762E-2</v>
      </c>
      <c r="E65" s="298">
        <v>4.3338618586310745E-2</v>
      </c>
      <c r="F65" s="298">
        <v>4.1423351475301885E-2</v>
      </c>
      <c r="G65" s="298">
        <v>3.9502384164557869E-2</v>
      </c>
      <c r="H65" s="298">
        <v>3.9331378172503512E-2</v>
      </c>
      <c r="I65" s="298">
        <v>3.9331378172503512E-2</v>
      </c>
      <c r="J65" s="298">
        <v>3.9331378172503512E-2</v>
      </c>
      <c r="K65" s="298">
        <v>3.9331378172503512E-2</v>
      </c>
      <c r="L65" s="298">
        <v>3.9331378172503512E-2</v>
      </c>
      <c r="M65" s="298">
        <v>3.9331378172503512E-2</v>
      </c>
      <c r="N65" s="298">
        <v>3.9331378172503512E-2</v>
      </c>
      <c r="O65" s="298">
        <v>3.9331378172503512E-2</v>
      </c>
      <c r="P65" s="298">
        <v>3.9331378172503512E-2</v>
      </c>
      <c r="Q65" s="298">
        <v>3.9331378172503512E-2</v>
      </c>
      <c r="R65" s="298">
        <v>3.9331378172503512E-2</v>
      </c>
      <c r="S65" s="298">
        <v>3.9331378172503512E-2</v>
      </c>
      <c r="T65" s="298">
        <v>3.9331378172503512E-2</v>
      </c>
      <c r="U65" s="298">
        <v>3.9331378172503512E-2</v>
      </c>
    </row>
    <row r="66" spans="1:21" ht="14.4" x14ac:dyDescent="0.3">
      <c r="A66" s="43">
        <v>4</v>
      </c>
      <c r="B66" s="43"/>
      <c r="C66"/>
      <c r="D66" s="298">
        <v>0.29725792638351467</v>
      </c>
      <c r="E66" s="298">
        <v>0.2846413116239121</v>
      </c>
      <c r="F66" s="298">
        <v>0.27206213489030245</v>
      </c>
      <c r="G66" s="298">
        <v>0.25944552013069982</v>
      </c>
      <c r="H66" s="298">
        <v>0.25832237935091329</v>
      </c>
      <c r="I66" s="298">
        <v>0.25832237935091329</v>
      </c>
      <c r="J66" s="298">
        <v>0.25832237935091329</v>
      </c>
      <c r="K66" s="298">
        <v>0.25832237935091329</v>
      </c>
      <c r="L66" s="298">
        <v>0.25832237935091329</v>
      </c>
      <c r="M66" s="298">
        <v>0.25832237935091329</v>
      </c>
      <c r="N66" s="298">
        <v>0.25832237935091329</v>
      </c>
      <c r="O66" s="298">
        <v>0.25832237935091329</v>
      </c>
      <c r="P66" s="298">
        <v>0.25832237935091329</v>
      </c>
      <c r="Q66" s="298">
        <v>0.25832237935091329</v>
      </c>
      <c r="R66" s="298">
        <v>0.25832237935091329</v>
      </c>
      <c r="S66" s="298">
        <v>0.25832237935091329</v>
      </c>
      <c r="T66" s="298">
        <v>0.25832237935091329</v>
      </c>
      <c r="U66" s="298">
        <v>0.25832237935091329</v>
      </c>
    </row>
    <row r="67" spans="1:21" ht="14.4" x14ac:dyDescent="0.3">
      <c r="A67" s="43">
        <v>5</v>
      </c>
      <c r="B67" s="43"/>
      <c r="C67"/>
      <c r="D67" s="298">
        <v>5.2610233007368663</v>
      </c>
      <c r="E67" s="298">
        <v>5.0377279792824163</v>
      </c>
      <c r="F67" s="298">
        <v>4.8150952552210082</v>
      </c>
      <c r="G67" s="298">
        <v>4.5917999337665591</v>
      </c>
      <c r="H67" s="298">
        <v>4.5719220119753627</v>
      </c>
      <c r="I67" s="298">
        <v>4.5719220119753627</v>
      </c>
      <c r="J67" s="298">
        <v>4.5719220119753627</v>
      </c>
      <c r="K67" s="298">
        <v>4.5719220119753627</v>
      </c>
      <c r="L67" s="298">
        <v>4.5719220119753627</v>
      </c>
      <c r="M67" s="298">
        <v>4.5719220119753627</v>
      </c>
      <c r="N67" s="298">
        <v>4.5719220119753627</v>
      </c>
      <c r="O67" s="298">
        <v>4.5719220119753627</v>
      </c>
      <c r="P67" s="298">
        <v>4.5719220119753627</v>
      </c>
      <c r="Q67" s="298">
        <v>4.5719220119753627</v>
      </c>
      <c r="R67" s="298">
        <v>4.5719220119753627</v>
      </c>
      <c r="S67" s="298">
        <v>4.5719220119753627</v>
      </c>
      <c r="T67" s="298">
        <v>4.5719220119753627</v>
      </c>
      <c r="U67" s="298">
        <v>4.5719220119753627</v>
      </c>
    </row>
    <row r="68" spans="1:21" ht="14.4" x14ac:dyDescent="0.3">
      <c r="A68" s="43">
        <v>6</v>
      </c>
      <c r="B68" s="43"/>
      <c r="C68"/>
      <c r="D68" s="298">
        <v>2.0328554819921713E-2</v>
      </c>
      <c r="E68" s="298">
        <v>1.9465743362199594E-2</v>
      </c>
      <c r="F68" s="298">
        <v>1.8605492175865379E-2</v>
      </c>
      <c r="G68" s="298">
        <v>1.7742680718143257E-2</v>
      </c>
      <c r="H68" s="298">
        <v>1.7665872576506276E-2</v>
      </c>
      <c r="I68" s="298">
        <v>1.7665872576506276E-2</v>
      </c>
      <c r="J68" s="298">
        <v>1.7665872576506276E-2</v>
      </c>
      <c r="K68" s="298">
        <v>1.7665872576506276E-2</v>
      </c>
      <c r="L68" s="298">
        <v>1.7665872576506276E-2</v>
      </c>
      <c r="M68" s="298">
        <v>1.7665872576506276E-2</v>
      </c>
      <c r="N68" s="298">
        <v>1.7665872576506276E-2</v>
      </c>
      <c r="O68" s="298">
        <v>1.7665872576506276E-2</v>
      </c>
      <c r="P68" s="298">
        <v>1.7665872576506276E-2</v>
      </c>
      <c r="Q68" s="298">
        <v>1.7665872576506276E-2</v>
      </c>
      <c r="R68" s="298">
        <v>1.7665872576506276E-2</v>
      </c>
      <c r="S68" s="298">
        <v>1.7665872576506276E-2</v>
      </c>
      <c r="T68" s="298">
        <v>1.7665872576506276E-2</v>
      </c>
      <c r="U68" s="298">
        <v>1.7665872576506276E-2</v>
      </c>
    </row>
    <row r="69" spans="1:21" ht="14.4" x14ac:dyDescent="0.3">
      <c r="A69" s="43">
        <v>7</v>
      </c>
      <c r="B69" s="43"/>
      <c r="C69"/>
      <c r="D69" s="298">
        <v>3.7605023223959706</v>
      </c>
      <c r="E69" s="298">
        <v>3.6008941004000707</v>
      </c>
      <c r="F69" s="298">
        <v>3.441759493306237</v>
      </c>
      <c r="G69" s="298">
        <v>3.2821512713103371</v>
      </c>
      <c r="H69" s="298">
        <v>3.2679428242483879</v>
      </c>
      <c r="I69" s="298">
        <v>3.2679428242483879</v>
      </c>
      <c r="J69" s="298">
        <v>3.2679428242483879</v>
      </c>
      <c r="K69" s="298">
        <v>3.2679428242483879</v>
      </c>
      <c r="L69" s="298">
        <v>3.2679428242483879</v>
      </c>
      <c r="M69" s="298">
        <v>3.2679428242483879</v>
      </c>
      <c r="N69" s="298">
        <v>3.2679428242483879</v>
      </c>
      <c r="O69" s="298">
        <v>3.2679428242483879</v>
      </c>
      <c r="P69" s="298">
        <v>3.2679428242483879</v>
      </c>
      <c r="Q69" s="298">
        <v>3.2679428242483879</v>
      </c>
      <c r="R69" s="298">
        <v>3.2679428242483879</v>
      </c>
      <c r="S69" s="298">
        <v>3.2679428242483879</v>
      </c>
      <c r="T69" s="298">
        <v>3.2679428242483879</v>
      </c>
      <c r="U69" s="298">
        <v>3.2679428242483879</v>
      </c>
    </row>
    <row r="70" spans="1:21" ht="14.4" x14ac:dyDescent="0.3">
      <c r="A70" s="43">
        <v>8</v>
      </c>
      <c r="B70" s="43"/>
      <c r="C70"/>
      <c r="D70" s="298">
        <v>1.9663380542748566E-2</v>
      </c>
      <c r="E70" s="298">
        <v>1.8828801293012256E-2</v>
      </c>
      <c r="F70" s="298">
        <v>1.7996698539565974E-2</v>
      </c>
      <c r="G70" s="298">
        <v>1.7162119289829664E-2</v>
      </c>
      <c r="H70" s="298">
        <v>1.7087824401129107E-2</v>
      </c>
      <c r="I70" s="298">
        <v>1.7087824401129107E-2</v>
      </c>
      <c r="J70" s="298">
        <v>1.7087824401129107E-2</v>
      </c>
      <c r="K70" s="298">
        <v>1.7087824401129107E-2</v>
      </c>
      <c r="L70" s="298">
        <v>1.7087824401129107E-2</v>
      </c>
      <c r="M70" s="298">
        <v>1.7087824401129107E-2</v>
      </c>
      <c r="N70" s="298">
        <v>1.7087824401129107E-2</v>
      </c>
      <c r="O70" s="298">
        <v>1.7087824401129107E-2</v>
      </c>
      <c r="P70" s="298">
        <v>1.7087824401129107E-2</v>
      </c>
      <c r="Q70" s="298">
        <v>1.7087824401129107E-2</v>
      </c>
      <c r="R70" s="298">
        <v>1.7087824401129107E-2</v>
      </c>
      <c r="S70" s="298">
        <v>1.7087824401129107E-2</v>
      </c>
      <c r="T70" s="298">
        <v>1.7087824401129107E-2</v>
      </c>
      <c r="U70" s="298">
        <v>1.7087824401129107E-2</v>
      </c>
    </row>
    <row r="71" spans="1:21" ht="14.4" x14ac:dyDescent="0.3">
      <c r="A71" s="43">
        <v>9</v>
      </c>
      <c r="B71" s="43"/>
      <c r="C71"/>
      <c r="D71" s="298">
        <v>9.6150693119962296E-3</v>
      </c>
      <c r="E71" s="298">
        <v>9.20697380089513E-3</v>
      </c>
      <c r="F71" s="298">
        <v>8.8000892557023435E-3</v>
      </c>
      <c r="G71" s="298">
        <v>8.3919937446012421E-3</v>
      </c>
      <c r="H71" s="298">
        <v>8.3556647673518874E-3</v>
      </c>
      <c r="I71" s="298">
        <v>8.3556647673518874E-3</v>
      </c>
      <c r="J71" s="298">
        <v>8.3556647673518874E-3</v>
      </c>
      <c r="K71" s="298">
        <v>8.3556647673518874E-3</v>
      </c>
      <c r="L71" s="298">
        <v>8.3556647673518874E-3</v>
      </c>
      <c r="M71" s="298">
        <v>8.3556647673518874E-3</v>
      </c>
      <c r="N71" s="298">
        <v>8.3556647673518874E-3</v>
      </c>
      <c r="O71" s="298">
        <v>8.3556647673518874E-3</v>
      </c>
      <c r="P71" s="298">
        <v>8.3556647673518874E-3</v>
      </c>
      <c r="Q71" s="298">
        <v>8.3556647673518874E-3</v>
      </c>
      <c r="R71" s="298">
        <v>8.3556647673518874E-3</v>
      </c>
      <c r="S71" s="298">
        <v>8.3556647673518874E-3</v>
      </c>
      <c r="T71" s="298">
        <v>8.3556647673518874E-3</v>
      </c>
      <c r="U71" s="298">
        <v>8.3556647673518874E-3</v>
      </c>
    </row>
    <row r="72" spans="1:21" ht="14.4" x14ac:dyDescent="0.3">
      <c r="A72" s="43">
        <v>10</v>
      </c>
      <c r="B72" s="43"/>
      <c r="C72"/>
      <c r="D72" s="298">
        <v>5.413604338681214E-3</v>
      </c>
      <c r="E72" s="298">
        <v>5.1838329706540643E-3</v>
      </c>
      <c r="F72" s="298">
        <v>4.9547434167753635E-3</v>
      </c>
      <c r="G72" s="298">
        <v>4.724972048748213E-3</v>
      </c>
      <c r="H72" s="298">
        <v>4.7045176242947583E-3</v>
      </c>
      <c r="I72" s="298">
        <v>4.7045176242947583E-3</v>
      </c>
      <c r="J72" s="298">
        <v>4.7045176242947583E-3</v>
      </c>
      <c r="K72" s="298">
        <v>4.7045176242947583E-3</v>
      </c>
      <c r="L72" s="298">
        <v>4.7045176242947583E-3</v>
      </c>
      <c r="M72" s="298">
        <v>4.7045176242947583E-3</v>
      </c>
      <c r="N72" s="298">
        <v>4.7045176242947583E-3</v>
      </c>
      <c r="O72" s="298">
        <v>4.7045176242947583E-3</v>
      </c>
      <c r="P72" s="298">
        <v>4.7045176242947583E-3</v>
      </c>
      <c r="Q72" s="298">
        <v>4.7045176242947583E-3</v>
      </c>
      <c r="R72" s="298">
        <v>4.7045176242947583E-3</v>
      </c>
      <c r="S72" s="298">
        <v>4.7045176242947583E-3</v>
      </c>
      <c r="T72" s="298">
        <v>4.7045176242947583E-3</v>
      </c>
      <c r="U72" s="298">
        <v>4.7045176242947583E-3</v>
      </c>
    </row>
    <row r="73" spans="1:21" ht="14.4" x14ac:dyDescent="0.3">
      <c r="A73" s="43">
        <v>11</v>
      </c>
      <c r="B73" s="43"/>
      <c r="C73"/>
      <c r="D73" s="298">
        <v>3.4945454457580891</v>
      </c>
      <c r="E73" s="298">
        <v>3.3462253178965682</v>
      </c>
      <c r="F73" s="298">
        <v>3.1983453091088205</v>
      </c>
      <c r="G73" s="298">
        <v>3.0500251812472992</v>
      </c>
      <c r="H73" s="298">
        <v>3.0368216090341078</v>
      </c>
      <c r="I73" s="298">
        <v>3.0368216090341078</v>
      </c>
      <c r="J73" s="298">
        <v>3.0368216090341078</v>
      </c>
      <c r="K73" s="298">
        <v>3.0368216090341078</v>
      </c>
      <c r="L73" s="298">
        <v>3.0368216090341078</v>
      </c>
      <c r="M73" s="298">
        <v>3.0368216090341078</v>
      </c>
      <c r="N73" s="298">
        <v>3.0368216090341078</v>
      </c>
      <c r="O73" s="298">
        <v>3.0368216090341078</v>
      </c>
      <c r="P73" s="298">
        <v>3.0368216090341078</v>
      </c>
      <c r="Q73" s="298">
        <v>3.0368216090341078</v>
      </c>
      <c r="R73" s="298">
        <v>3.0368216090341078</v>
      </c>
      <c r="S73" s="298">
        <v>3.0368216090341078</v>
      </c>
      <c r="T73" s="298">
        <v>3.0368216090341078</v>
      </c>
      <c r="U73" s="298">
        <v>3.0368216090341078</v>
      </c>
    </row>
    <row r="74" spans="1:21" ht="14.4" x14ac:dyDescent="0.3">
      <c r="A74" s="43">
        <v>12</v>
      </c>
      <c r="B74" s="43"/>
      <c r="C74"/>
      <c r="D74" s="298">
        <v>3.3849154065235818E-3</v>
      </c>
      <c r="E74" s="298">
        <v>3.2412483420401496E-3</v>
      </c>
      <c r="F74" s="298">
        <v>3.0980075893207643E-3</v>
      </c>
      <c r="G74" s="298">
        <v>2.9543405248373326E-3</v>
      </c>
      <c r="H74" s="298">
        <v>2.941551171915959E-3</v>
      </c>
      <c r="I74" s="298">
        <v>2.941551171915959E-3</v>
      </c>
      <c r="J74" s="298">
        <v>2.941551171915959E-3</v>
      </c>
      <c r="K74" s="298">
        <v>2.941551171915959E-3</v>
      </c>
      <c r="L74" s="298">
        <v>2.941551171915959E-3</v>
      </c>
      <c r="M74" s="298">
        <v>2.941551171915959E-3</v>
      </c>
      <c r="N74" s="298">
        <v>2.941551171915959E-3</v>
      </c>
      <c r="O74" s="298">
        <v>2.941551171915959E-3</v>
      </c>
      <c r="P74" s="298">
        <v>2.941551171915959E-3</v>
      </c>
      <c r="Q74" s="298">
        <v>2.941551171915959E-3</v>
      </c>
      <c r="R74" s="298">
        <v>2.941551171915959E-3</v>
      </c>
      <c r="S74" s="298">
        <v>2.941551171915959E-3</v>
      </c>
      <c r="T74" s="298">
        <v>2.941551171915959E-3</v>
      </c>
      <c r="U74" s="298">
        <v>2.941551171915959E-3</v>
      </c>
    </row>
    <row r="75" spans="1:21" ht="14.4" x14ac:dyDescent="0.3">
      <c r="A75" s="43">
        <v>13</v>
      </c>
      <c r="B75" s="43"/>
      <c r="C75"/>
      <c r="D75" s="298">
        <v>2.2520654934124393</v>
      </c>
      <c r="E75" s="298">
        <v>2.1564803458960671</v>
      </c>
      <c r="F75" s="298">
        <v>2.0611788338322663</v>
      </c>
      <c r="G75" s="298">
        <v>1.9655936863158945</v>
      </c>
      <c r="H75" s="298">
        <v>1.9570846227387695</v>
      </c>
      <c r="I75" s="298">
        <v>1.9570846227387695</v>
      </c>
      <c r="J75" s="298">
        <v>1.9570846227387695</v>
      </c>
      <c r="K75" s="298">
        <v>1.9570846227387695</v>
      </c>
      <c r="L75" s="298">
        <v>1.9570846227387695</v>
      </c>
      <c r="M75" s="298">
        <v>1.9570846227387695</v>
      </c>
      <c r="N75" s="298">
        <v>1.9570846227387695</v>
      </c>
      <c r="O75" s="298">
        <v>1.9570846227387695</v>
      </c>
      <c r="P75" s="298">
        <v>1.9570846227387695</v>
      </c>
      <c r="Q75" s="298">
        <v>1.9570846227387695</v>
      </c>
      <c r="R75" s="298">
        <v>1.9570846227387695</v>
      </c>
      <c r="S75" s="298">
        <v>1.9570846227387695</v>
      </c>
      <c r="T75" s="298">
        <v>1.9570846227387695</v>
      </c>
      <c r="U75" s="298">
        <v>1.9570846227387695</v>
      </c>
    </row>
    <row r="76" spans="1:21" ht="14.4" x14ac:dyDescent="0.3">
      <c r="A76" s="43">
        <v>14</v>
      </c>
      <c r="B76" s="43"/>
      <c r="C76"/>
      <c r="D76" s="298">
        <v>1.2003992296048918E-2</v>
      </c>
      <c r="E76" s="298">
        <v>1.1494502950486134E-2</v>
      </c>
      <c r="F76" s="298">
        <v>1.0986525442744017E-2</v>
      </c>
      <c r="G76" s="298">
        <v>1.0477036097181234E-2</v>
      </c>
      <c r="H76" s="298">
        <v>1.0431680962561403E-2</v>
      </c>
      <c r="I76" s="298">
        <v>1.0431680962561403E-2</v>
      </c>
      <c r="J76" s="298">
        <v>1.0431680962561403E-2</v>
      </c>
      <c r="K76" s="298">
        <v>1.0431680962561403E-2</v>
      </c>
      <c r="L76" s="298">
        <v>1.0431680962561403E-2</v>
      </c>
      <c r="M76" s="298">
        <v>1.0431680962561403E-2</v>
      </c>
      <c r="N76" s="298">
        <v>1.0431680962561403E-2</v>
      </c>
      <c r="O76" s="298">
        <v>1.0431680962561403E-2</v>
      </c>
      <c r="P76" s="298">
        <v>1.0431680962561403E-2</v>
      </c>
      <c r="Q76" s="298">
        <v>1.0431680962561403E-2</v>
      </c>
      <c r="R76" s="298">
        <v>1.0431680962561403E-2</v>
      </c>
      <c r="S76" s="298">
        <v>1.0431680962561403E-2</v>
      </c>
      <c r="T76" s="298">
        <v>1.0431680962561403E-2</v>
      </c>
      <c r="U76" s="298">
        <v>1.0431680962561403E-2</v>
      </c>
    </row>
    <row r="77" spans="1:21" ht="14.4" x14ac:dyDescent="0.3">
      <c r="A77" s="43">
        <v>15</v>
      </c>
      <c r="B77" s="43"/>
      <c r="C77"/>
      <c r="D77" s="298">
        <v>2.2368084049890326E-3</v>
      </c>
      <c r="E77" s="298">
        <v>2.1418708190342082E-3</v>
      </c>
      <c r="F77" s="298">
        <v>2.0472149469842947E-3</v>
      </c>
      <c r="G77" s="298">
        <v>1.9522773610294703E-3</v>
      </c>
      <c r="H77" s="298">
        <v>1.9438259438821566E-3</v>
      </c>
      <c r="I77" s="298">
        <v>1.9438259438821566E-3</v>
      </c>
      <c r="J77" s="298">
        <v>1.9438259438821566E-3</v>
      </c>
      <c r="K77" s="298">
        <v>1.9438259438821566E-3</v>
      </c>
      <c r="L77" s="298">
        <v>1.9438259438821566E-3</v>
      </c>
      <c r="M77" s="298">
        <v>1.9438259438821566E-3</v>
      </c>
      <c r="N77" s="298">
        <v>1.9438259438821566E-3</v>
      </c>
      <c r="O77" s="298">
        <v>1.9438259438821566E-3</v>
      </c>
      <c r="P77" s="298">
        <v>1.9438259438821566E-3</v>
      </c>
      <c r="Q77" s="298">
        <v>1.9438259438821566E-3</v>
      </c>
      <c r="R77" s="298">
        <v>1.9438259438821566E-3</v>
      </c>
      <c r="S77" s="298">
        <v>1.9438259438821566E-3</v>
      </c>
      <c r="T77" s="298">
        <v>1.9438259438821566E-3</v>
      </c>
      <c r="U77" s="298">
        <v>1.9438259438821566E-3</v>
      </c>
    </row>
    <row r="78" spans="1:21" ht="14.4" x14ac:dyDescent="0.3">
      <c r="A78" s="43">
        <v>16</v>
      </c>
      <c r="B78" s="43"/>
      <c r="C78"/>
      <c r="D78" s="298">
        <v>1.0045803829833231E-2</v>
      </c>
      <c r="E78" s="298">
        <v>9.6194265136299809E-3</v>
      </c>
      <c r="F78" s="298">
        <v>9.1943144120148722E-3</v>
      </c>
      <c r="G78" s="298">
        <v>8.7679370958116225E-3</v>
      </c>
      <c r="H78" s="298">
        <v>8.7299806581674182E-3</v>
      </c>
      <c r="I78" s="298">
        <v>8.7299806581674182E-3</v>
      </c>
      <c r="J78" s="298">
        <v>8.7299806581674182E-3</v>
      </c>
      <c r="K78" s="298">
        <v>8.7299806581674182E-3</v>
      </c>
      <c r="L78" s="298">
        <v>8.7299806581674182E-3</v>
      </c>
      <c r="M78" s="298">
        <v>8.7299806581674182E-3</v>
      </c>
      <c r="N78" s="298">
        <v>8.7299806581674182E-3</v>
      </c>
      <c r="O78" s="298">
        <v>8.7299806581674182E-3</v>
      </c>
      <c r="P78" s="298">
        <v>8.7299806581674182E-3</v>
      </c>
      <c r="Q78" s="298">
        <v>8.7299806581674182E-3</v>
      </c>
      <c r="R78" s="298">
        <v>8.7299806581674182E-3</v>
      </c>
      <c r="S78" s="298">
        <v>8.7299806581674182E-3</v>
      </c>
      <c r="T78" s="298">
        <v>8.7299806581674182E-3</v>
      </c>
      <c r="U78" s="298">
        <v>8.7299806581674182E-3</v>
      </c>
    </row>
    <row r="79" spans="1:21" ht="14.4" x14ac:dyDescent="0.3">
      <c r="A79" s="43">
        <v>17</v>
      </c>
      <c r="B79" s="43"/>
      <c r="C79"/>
      <c r="D79" s="298">
        <v>1.1226094656127854</v>
      </c>
      <c r="E79" s="298">
        <v>1.0749621872863988</v>
      </c>
      <c r="F79" s="298">
        <v>1.0274562955425832</v>
      </c>
      <c r="G79" s="298">
        <v>0.97980901721619673</v>
      </c>
      <c r="H79" s="298">
        <v>0.97556741973907035</v>
      </c>
      <c r="I79" s="298">
        <v>0.97556741973907035</v>
      </c>
      <c r="J79" s="298">
        <v>0.97556741973907035</v>
      </c>
      <c r="K79" s="298">
        <v>0.97556741973907035</v>
      </c>
      <c r="L79" s="298">
        <v>0.97556741973907035</v>
      </c>
      <c r="M79" s="298">
        <v>0.97556741973907035</v>
      </c>
      <c r="N79" s="298">
        <v>0.97556741973907035</v>
      </c>
      <c r="O79" s="298">
        <v>0.97556741973907035</v>
      </c>
      <c r="P79" s="298">
        <v>0.97556741973907035</v>
      </c>
      <c r="Q79" s="298">
        <v>0.97556741973907035</v>
      </c>
      <c r="R79" s="298">
        <v>0.97556741973907035</v>
      </c>
      <c r="S79" s="298">
        <v>0.97556741973907035</v>
      </c>
      <c r="T79" s="298">
        <v>0.97556741973907035</v>
      </c>
      <c r="U79" s="298">
        <v>0.97556741973907035</v>
      </c>
    </row>
    <row r="80" spans="1:21" ht="14.4" x14ac:dyDescent="0.3">
      <c r="A80" s="43">
        <v>18</v>
      </c>
      <c r="B80" s="43"/>
      <c r="C80"/>
      <c r="D80" s="298">
        <v>2.9975279448625292E-3</v>
      </c>
      <c r="E80" s="298">
        <v>2.8703028922909078E-3</v>
      </c>
      <c r="F80" s="298">
        <v>2.7434553621304785E-3</v>
      </c>
      <c r="G80" s="298">
        <v>2.6162303095588571E-3</v>
      </c>
      <c r="H80" s="298">
        <v>2.6049046372231049E-3</v>
      </c>
      <c r="I80" s="298">
        <v>2.6049046372231049E-3</v>
      </c>
      <c r="J80" s="298">
        <v>2.6049046372231049E-3</v>
      </c>
      <c r="K80" s="298">
        <v>2.6049046372231049E-3</v>
      </c>
      <c r="L80" s="298">
        <v>2.6049046372231049E-3</v>
      </c>
      <c r="M80" s="298">
        <v>2.6049046372231049E-3</v>
      </c>
      <c r="N80" s="298">
        <v>2.6049046372231049E-3</v>
      </c>
      <c r="O80" s="298">
        <v>2.6049046372231049E-3</v>
      </c>
      <c r="P80" s="298">
        <v>2.6049046372231049E-3</v>
      </c>
      <c r="Q80" s="298">
        <v>2.6049046372231049E-3</v>
      </c>
      <c r="R80" s="298">
        <v>2.6049046372231049E-3</v>
      </c>
      <c r="S80" s="298">
        <v>2.6049046372231049E-3</v>
      </c>
      <c r="T80" s="298">
        <v>2.6049046372231049E-3</v>
      </c>
      <c r="U80" s="298">
        <v>2.6049046372231049E-3</v>
      </c>
    </row>
    <row r="81" spans="1:21" ht="14.4" x14ac:dyDescent="0.3">
      <c r="A81" s="43">
        <v>19</v>
      </c>
      <c r="B81" s="43"/>
      <c r="C81"/>
      <c r="D81" s="298">
        <v>1.0548634848389891</v>
      </c>
      <c r="E81" s="298">
        <v>1.0100915711877623</v>
      </c>
      <c r="F81" s="298">
        <v>0.96545251187971459</v>
      </c>
      <c r="G81" s="298">
        <v>0.92068059822848791</v>
      </c>
      <c r="H81" s="298">
        <v>0.91669496793312655</v>
      </c>
      <c r="I81" s="298">
        <v>0.91669496793312655</v>
      </c>
      <c r="J81" s="298">
        <v>0.91669496793312655</v>
      </c>
      <c r="K81" s="298">
        <v>0.91669496793312655</v>
      </c>
      <c r="L81" s="298">
        <v>0.91669496793312655</v>
      </c>
      <c r="M81" s="298">
        <v>0.91669496793312655</v>
      </c>
      <c r="N81" s="298">
        <v>0.91669496793312655</v>
      </c>
      <c r="O81" s="298">
        <v>0.91669496793312655</v>
      </c>
      <c r="P81" s="298">
        <v>0.91669496793312655</v>
      </c>
      <c r="Q81" s="298">
        <v>0.91669496793312655</v>
      </c>
      <c r="R81" s="298">
        <v>0.91669496793312655</v>
      </c>
      <c r="S81" s="298">
        <v>0.91669496793312655</v>
      </c>
      <c r="T81" s="298">
        <v>0.91669496793312655</v>
      </c>
      <c r="U81" s="298">
        <v>0.91669496793312655</v>
      </c>
    </row>
    <row r="82" spans="1:21" ht="14.4" x14ac:dyDescent="0.3">
      <c r="A82" s="43">
        <v>20</v>
      </c>
      <c r="B82" s="43"/>
      <c r="C82"/>
      <c r="D82" s="298">
        <v>3.9537279671871609E-3</v>
      </c>
      <c r="E82" s="298">
        <v>3.7859186063632214E-3</v>
      </c>
      <c r="F82" s="298">
        <v>3.6186071961648737E-3</v>
      </c>
      <c r="G82" s="298">
        <v>3.4507978353409343E-3</v>
      </c>
      <c r="H82" s="298">
        <v>3.435859316573225E-3</v>
      </c>
      <c r="I82" s="298">
        <v>3.435859316573225E-3</v>
      </c>
      <c r="J82" s="298">
        <v>3.435859316573225E-3</v>
      </c>
      <c r="K82" s="298">
        <v>3.435859316573225E-3</v>
      </c>
      <c r="L82" s="298">
        <v>3.435859316573225E-3</v>
      </c>
      <c r="M82" s="298">
        <v>3.435859316573225E-3</v>
      </c>
      <c r="N82" s="298">
        <v>3.435859316573225E-3</v>
      </c>
      <c r="O82" s="298">
        <v>3.435859316573225E-3</v>
      </c>
      <c r="P82" s="298">
        <v>3.435859316573225E-3</v>
      </c>
      <c r="Q82" s="298">
        <v>3.435859316573225E-3</v>
      </c>
      <c r="R82" s="298">
        <v>3.435859316573225E-3</v>
      </c>
      <c r="S82" s="298">
        <v>3.435859316573225E-3</v>
      </c>
      <c r="T82" s="298">
        <v>3.435859316573225E-3</v>
      </c>
      <c r="U82" s="298">
        <v>3.435859316573225E-3</v>
      </c>
    </row>
    <row r="83" spans="1:21" ht="14.4" x14ac:dyDescent="0.3">
      <c r="A83" s="43">
        <v>21</v>
      </c>
      <c r="B83" s="43"/>
      <c r="C83"/>
      <c r="D83" s="298">
        <v>1.7776305987240223E-3</v>
      </c>
      <c r="E83" s="298">
        <v>1.7021820456043753E-3</v>
      </c>
      <c r="F83" s="298">
        <v>1.6269573754316713E-3</v>
      </c>
      <c r="G83" s="298">
        <v>1.5515088223120243E-3</v>
      </c>
      <c r="H83" s="298">
        <v>1.5447923339037474E-3</v>
      </c>
      <c r="I83" s="298">
        <v>1.5447923339037474E-3</v>
      </c>
      <c r="J83" s="298">
        <v>1.5447923339037474E-3</v>
      </c>
      <c r="K83" s="298">
        <v>1.5447923339037474E-3</v>
      </c>
      <c r="L83" s="298">
        <v>1.5447923339037474E-3</v>
      </c>
      <c r="M83" s="298">
        <v>1.5447923339037474E-3</v>
      </c>
      <c r="N83" s="298">
        <v>1.5447923339037474E-3</v>
      </c>
      <c r="O83" s="298">
        <v>1.5447923339037474E-3</v>
      </c>
      <c r="P83" s="298">
        <v>1.5447923339037474E-3</v>
      </c>
      <c r="Q83" s="298">
        <v>1.5447923339037474E-3</v>
      </c>
      <c r="R83" s="298">
        <v>1.5447923339037474E-3</v>
      </c>
      <c r="S83" s="298">
        <v>1.5447923339037474E-3</v>
      </c>
      <c r="T83" s="298">
        <v>1.5447923339037474E-3</v>
      </c>
      <c r="U83" s="298">
        <v>1.5447923339037474E-3</v>
      </c>
    </row>
    <row r="84" spans="1:21" ht="14.4" x14ac:dyDescent="0.3">
      <c r="A84" s="43">
        <v>22</v>
      </c>
      <c r="B84" s="43"/>
      <c r="C84"/>
      <c r="D84" s="298">
        <v>6.0107835552342427E-3</v>
      </c>
      <c r="E84" s="298">
        <v>5.7556659156732925E-3</v>
      </c>
      <c r="F84" s="298">
        <v>5.5013053017490231E-3</v>
      </c>
      <c r="G84" s="298">
        <v>5.2461876621880729E-3</v>
      </c>
      <c r="H84" s="298">
        <v>5.2234768930876927E-3</v>
      </c>
      <c r="I84" s="298">
        <v>5.2234768930876927E-3</v>
      </c>
      <c r="J84" s="298">
        <v>5.2234768930876927E-3</v>
      </c>
      <c r="K84" s="298">
        <v>5.2234768930876927E-3</v>
      </c>
      <c r="L84" s="298">
        <v>5.2234768930876927E-3</v>
      </c>
      <c r="M84" s="298">
        <v>5.2234768930876927E-3</v>
      </c>
      <c r="N84" s="298">
        <v>5.2234768930876927E-3</v>
      </c>
      <c r="O84" s="298">
        <v>5.2234768930876927E-3</v>
      </c>
      <c r="P84" s="298">
        <v>5.2234768930876927E-3</v>
      </c>
      <c r="Q84" s="298">
        <v>5.2234768930876927E-3</v>
      </c>
      <c r="R84" s="298">
        <v>5.2234768930876927E-3</v>
      </c>
      <c r="S84" s="298">
        <v>5.2234768930876927E-3</v>
      </c>
      <c r="T84" s="298">
        <v>5.2234768930876927E-3</v>
      </c>
      <c r="U84" s="298">
        <v>5.2234768930876927E-3</v>
      </c>
    </row>
    <row r="85" spans="1:21" ht="14.4" x14ac:dyDescent="0.3">
      <c r="A85" s="43">
        <v>23</v>
      </c>
      <c r="B85" s="43"/>
      <c r="C85"/>
      <c r="D85" s="298">
        <v>0.62976876382261859</v>
      </c>
      <c r="E85" s="298">
        <v>0.60303928354450487</v>
      </c>
      <c r="F85" s="298">
        <v>0.57638911923160818</v>
      </c>
      <c r="G85" s="298">
        <v>0.54965963895349446</v>
      </c>
      <c r="H85" s="298">
        <v>0.54728015999698587</v>
      </c>
      <c r="I85" s="298">
        <v>0.54728015999698587</v>
      </c>
      <c r="J85" s="298">
        <v>0.54728015999698587</v>
      </c>
      <c r="K85" s="298">
        <v>0.54728015999698587</v>
      </c>
      <c r="L85" s="298">
        <v>0.54728015999698587</v>
      </c>
      <c r="M85" s="298">
        <v>0.54728015999698587</v>
      </c>
      <c r="N85" s="298">
        <v>0.54728015999698587</v>
      </c>
      <c r="O85" s="298">
        <v>0.54728015999698587</v>
      </c>
      <c r="P85" s="298">
        <v>0.54728015999698587</v>
      </c>
      <c r="Q85" s="298">
        <v>0.54728015999698587</v>
      </c>
      <c r="R85" s="298">
        <v>0.54728015999698587</v>
      </c>
      <c r="S85" s="298">
        <v>0.54728015999698587</v>
      </c>
      <c r="T85" s="298">
        <v>0.54728015999698587</v>
      </c>
      <c r="U85" s="298">
        <v>0.54728015999698587</v>
      </c>
    </row>
    <row r="86" spans="1:21" ht="14.4" x14ac:dyDescent="0.3">
      <c r="A86" s="43">
        <v>24</v>
      </c>
      <c r="B86" s="43"/>
      <c r="C86"/>
      <c r="D86" s="298">
        <v>8.4786508236885832E-4</v>
      </c>
      <c r="E86" s="298">
        <v>8.1187886917511701E-4</v>
      </c>
      <c r="F86" s="298">
        <v>7.7599943999678768E-4</v>
      </c>
      <c r="G86" s="298">
        <v>7.4001322680304637E-4</v>
      </c>
      <c r="H86" s="298">
        <v>7.3680970634069551E-4</v>
      </c>
      <c r="I86" s="298">
        <v>7.3680970634069551E-4</v>
      </c>
      <c r="J86" s="298">
        <v>7.3680970634069551E-4</v>
      </c>
      <c r="K86" s="298">
        <v>7.3680970634069551E-4</v>
      </c>
      <c r="L86" s="298">
        <v>7.3680970634069551E-4</v>
      </c>
      <c r="M86" s="298">
        <v>7.3680970634069551E-4</v>
      </c>
      <c r="N86" s="298">
        <v>7.3680970634069551E-4</v>
      </c>
      <c r="O86" s="298">
        <v>7.3680970634069551E-4</v>
      </c>
      <c r="P86" s="298">
        <v>7.3680970634069551E-4</v>
      </c>
      <c r="Q86" s="298">
        <v>7.3680970634069551E-4</v>
      </c>
      <c r="R86" s="298">
        <v>7.3680970634069551E-4</v>
      </c>
      <c r="S86" s="298">
        <v>7.3680970634069551E-4</v>
      </c>
      <c r="T86" s="298">
        <v>7.3680970634069551E-4</v>
      </c>
      <c r="U86" s="298">
        <v>7.3680970634069551E-4</v>
      </c>
    </row>
    <row r="87" spans="1:21" ht="14.4" x14ac:dyDescent="0.3">
      <c r="A87" s="43">
        <v>25</v>
      </c>
      <c r="B87" s="43"/>
      <c r="C87"/>
      <c r="D87" s="298">
        <v>0.50562930889481716</v>
      </c>
      <c r="E87" s="298">
        <v>0.4841687198397096</v>
      </c>
      <c r="F87" s="298">
        <v>0.46277181205776274</v>
      </c>
      <c r="G87" s="298">
        <v>0.44131122300265524</v>
      </c>
      <c r="H87" s="298">
        <v>0.43940078480783862</v>
      </c>
      <c r="I87" s="298">
        <v>0.43940078480783862</v>
      </c>
      <c r="J87" s="298">
        <v>0.43940078480783862</v>
      </c>
      <c r="K87" s="298">
        <v>0.43940078480783862</v>
      </c>
      <c r="L87" s="298">
        <v>0.43940078480783862</v>
      </c>
      <c r="M87" s="298">
        <v>0.43940078480783862</v>
      </c>
      <c r="N87" s="298">
        <v>0.43940078480783862</v>
      </c>
      <c r="O87" s="298">
        <v>0.43940078480783862</v>
      </c>
      <c r="P87" s="298">
        <v>0.43940078480783862</v>
      </c>
      <c r="Q87" s="298">
        <v>0.43940078480783862</v>
      </c>
      <c r="R87" s="298">
        <v>0.43940078480783862</v>
      </c>
      <c r="S87" s="298">
        <v>0.43940078480783862</v>
      </c>
      <c r="T87" s="298">
        <v>0.43940078480783862</v>
      </c>
      <c r="U87" s="298">
        <v>0.43940078480783862</v>
      </c>
    </row>
    <row r="88" spans="1:21" ht="14.4" x14ac:dyDescent="0.3">
      <c r="A88" s="43">
        <v>26</v>
      </c>
      <c r="B88" s="43"/>
      <c r="C88"/>
      <c r="D88" s="298">
        <v>4.3441249874913218E-3</v>
      </c>
      <c r="E88" s="298">
        <v>4.1597458790801657E-3</v>
      </c>
      <c r="F88" s="298">
        <v>3.9759138896850671E-3</v>
      </c>
      <c r="G88" s="298">
        <v>3.7915347812739111E-3</v>
      </c>
      <c r="H88" s="298">
        <v>3.7751212107922064E-3</v>
      </c>
      <c r="I88" s="298">
        <v>3.7751212107922064E-3</v>
      </c>
      <c r="J88" s="298">
        <v>3.7751212107922064E-3</v>
      </c>
      <c r="K88" s="298">
        <v>3.7751212107922064E-3</v>
      </c>
      <c r="L88" s="298">
        <v>3.7751212107922064E-3</v>
      </c>
      <c r="M88" s="298">
        <v>3.7751212107922064E-3</v>
      </c>
      <c r="N88" s="298">
        <v>3.7751212107922064E-3</v>
      </c>
      <c r="O88" s="298">
        <v>3.7751212107922064E-3</v>
      </c>
      <c r="P88" s="298">
        <v>3.7751212107922064E-3</v>
      </c>
      <c r="Q88" s="298">
        <v>3.7751212107922064E-3</v>
      </c>
      <c r="R88" s="298">
        <v>3.7751212107922064E-3</v>
      </c>
      <c r="S88" s="298">
        <v>3.7751212107922064E-3</v>
      </c>
      <c r="T88" s="298">
        <v>3.7751212107922064E-3</v>
      </c>
      <c r="U88" s="298">
        <v>3.7751212107922064E-3</v>
      </c>
    </row>
    <row r="89" spans="1:21" ht="14.4" x14ac:dyDescent="0.3">
      <c r="A89" s="43">
        <v>27</v>
      </c>
      <c r="B89" s="43"/>
      <c r="C89"/>
      <c r="D89" s="298">
        <v>1.6680713870593842E-3</v>
      </c>
      <c r="E89" s="298">
        <v>1.5972728911602641E-3</v>
      </c>
      <c r="F89" s="298">
        <v>1.5266844798187086E-3</v>
      </c>
      <c r="G89" s="298">
        <v>1.4558859839195882E-3</v>
      </c>
      <c r="H89" s="298">
        <v>1.4495834471926639E-3</v>
      </c>
      <c r="I89" s="298">
        <v>1.4495834471926639E-3</v>
      </c>
      <c r="J89" s="298">
        <v>1.4495834471926639E-3</v>
      </c>
      <c r="K89" s="298">
        <v>1.4495834471926639E-3</v>
      </c>
      <c r="L89" s="298">
        <v>1.4495834471926639E-3</v>
      </c>
      <c r="M89" s="298">
        <v>1.4495834471926639E-3</v>
      </c>
      <c r="N89" s="298">
        <v>1.4495834471926639E-3</v>
      </c>
      <c r="O89" s="298">
        <v>1.4495834471926639E-3</v>
      </c>
      <c r="P89" s="298">
        <v>1.4495834471926639E-3</v>
      </c>
      <c r="Q89" s="298">
        <v>1.4495834471926639E-3</v>
      </c>
      <c r="R89" s="298">
        <v>1.4495834471926639E-3</v>
      </c>
      <c r="S89" s="298">
        <v>1.4495834471926639E-3</v>
      </c>
      <c r="T89" s="298">
        <v>1.4495834471926639E-3</v>
      </c>
      <c r="U89" s="298">
        <v>1.4495834471926639E-3</v>
      </c>
    </row>
    <row r="90" spans="1:21" ht="14.4" x14ac:dyDescent="0.3">
      <c r="A90" s="43">
        <v>28</v>
      </c>
      <c r="B90" s="43"/>
      <c r="C90"/>
      <c r="D90" s="298">
        <v>2.6593794744053248E-3</v>
      </c>
      <c r="E90" s="298">
        <v>2.5465065672422775E-3</v>
      </c>
      <c r="F90" s="298">
        <v>2.4339685945218509E-3</v>
      </c>
      <c r="G90" s="298">
        <v>2.3210956873588036E-3</v>
      </c>
      <c r="H90" s="298">
        <v>2.3110476540801942E-3</v>
      </c>
      <c r="I90" s="298">
        <v>2.3110476540801942E-3</v>
      </c>
      <c r="J90" s="298">
        <v>2.3110476540801942E-3</v>
      </c>
      <c r="K90" s="298">
        <v>2.3110476540801942E-3</v>
      </c>
      <c r="L90" s="298">
        <v>2.3110476540801942E-3</v>
      </c>
      <c r="M90" s="298">
        <v>2.3110476540801942E-3</v>
      </c>
      <c r="N90" s="298">
        <v>2.3110476540801942E-3</v>
      </c>
      <c r="O90" s="298">
        <v>2.3110476540801942E-3</v>
      </c>
      <c r="P90" s="298">
        <v>2.3110476540801942E-3</v>
      </c>
      <c r="Q90" s="298">
        <v>2.3110476540801942E-3</v>
      </c>
      <c r="R90" s="298">
        <v>2.3110476540801942E-3</v>
      </c>
      <c r="S90" s="298">
        <v>2.3110476540801942E-3</v>
      </c>
      <c r="T90" s="298">
        <v>2.3110476540801942E-3</v>
      </c>
      <c r="U90" s="298">
        <v>2.3110476540801942E-3</v>
      </c>
    </row>
    <row r="91" spans="1:21" ht="14.4" x14ac:dyDescent="0.3">
      <c r="A91" s="43">
        <v>29</v>
      </c>
      <c r="B91" s="43"/>
      <c r="C91"/>
      <c r="D91" s="298">
        <v>0.45606825205169371</v>
      </c>
      <c r="E91" s="298">
        <v>0.43671119903640138</v>
      </c>
      <c r="F91" s="298">
        <v>0.41741158534756401</v>
      </c>
      <c r="G91" s="298">
        <v>0.39805453233227167</v>
      </c>
      <c r="H91" s="298">
        <v>0.3963313525386255</v>
      </c>
      <c r="I91" s="298">
        <v>0.3963313525386255</v>
      </c>
      <c r="J91" s="298">
        <v>0.3963313525386255</v>
      </c>
      <c r="K91" s="298">
        <v>0.3963313525386255</v>
      </c>
      <c r="L91" s="298">
        <v>0.3963313525386255</v>
      </c>
      <c r="M91" s="298">
        <v>0.3963313525386255</v>
      </c>
      <c r="N91" s="298">
        <v>0.3963313525386255</v>
      </c>
      <c r="O91" s="298">
        <v>0.3963313525386255</v>
      </c>
      <c r="P91" s="298">
        <v>0.3963313525386255</v>
      </c>
      <c r="Q91" s="298">
        <v>0.3963313525386255</v>
      </c>
      <c r="R91" s="298">
        <v>0.3963313525386255</v>
      </c>
      <c r="S91" s="298">
        <v>0.3963313525386255</v>
      </c>
      <c r="T91" s="298">
        <v>0.3963313525386255</v>
      </c>
      <c r="U91" s="298">
        <v>0.3963313525386255</v>
      </c>
    </row>
    <row r="92" spans="1:21" ht="14.4" x14ac:dyDescent="0.3">
      <c r="A92" s="43">
        <v>30</v>
      </c>
      <c r="B92" s="43"/>
      <c r="C92"/>
      <c r="D92" s="298">
        <v>1.3183735589566582E-3</v>
      </c>
      <c r="E92" s="298">
        <v>1.2624174016054748E-3</v>
      </c>
      <c r="F92" s="298">
        <v>1.2066272862642361E-3</v>
      </c>
      <c r="G92" s="298">
        <v>1.1506711289130528E-3</v>
      </c>
      <c r="H92" s="298">
        <v>1.1456898686147282E-3</v>
      </c>
      <c r="I92" s="298">
        <v>1.1456898686147282E-3</v>
      </c>
      <c r="J92" s="298">
        <v>1.1456898686147282E-3</v>
      </c>
      <c r="K92" s="298">
        <v>1.1456898686147282E-3</v>
      </c>
      <c r="L92" s="298">
        <v>1.1456898686147282E-3</v>
      </c>
      <c r="M92" s="298">
        <v>1.1456898686147282E-3</v>
      </c>
      <c r="N92" s="298">
        <v>1.1456898686147282E-3</v>
      </c>
      <c r="O92" s="298">
        <v>1.1456898686147282E-3</v>
      </c>
      <c r="P92" s="298">
        <v>1.1456898686147282E-3</v>
      </c>
      <c r="Q92" s="298">
        <v>1.1456898686147282E-3</v>
      </c>
      <c r="R92" s="298">
        <v>1.1456898686147282E-3</v>
      </c>
      <c r="S92" s="298">
        <v>1.1456898686147282E-3</v>
      </c>
      <c r="T92" s="298">
        <v>1.1456898686147282E-3</v>
      </c>
      <c r="U92" s="298">
        <v>1.1456898686147282E-3</v>
      </c>
    </row>
    <row r="93" spans="1:21" ht="14.4" x14ac:dyDescent="0.3">
      <c r="A93" s="43">
        <v>31</v>
      </c>
      <c r="B93" s="43"/>
      <c r="C93"/>
      <c r="D93" s="298">
        <v>0.37522450205406943</v>
      </c>
      <c r="E93" s="298">
        <v>0.3592987265890541</v>
      </c>
      <c r="F93" s="298">
        <v>0.34342020861800038</v>
      </c>
      <c r="G93" s="298">
        <v>0.32749443315298504</v>
      </c>
      <c r="H93" s="298">
        <v>0.32607670833414099</v>
      </c>
      <c r="I93" s="298">
        <v>0.32607670833414099</v>
      </c>
      <c r="J93" s="298">
        <v>0.32607670833414099</v>
      </c>
      <c r="K93" s="298">
        <v>0.32607670833414099</v>
      </c>
      <c r="L93" s="298">
        <v>0.32607670833414099</v>
      </c>
      <c r="M93" s="298">
        <v>0.32607670833414099</v>
      </c>
      <c r="N93" s="298">
        <v>0.32607670833414099</v>
      </c>
      <c r="O93" s="298">
        <v>0.32607670833414099</v>
      </c>
      <c r="P93" s="298">
        <v>0.32607670833414099</v>
      </c>
      <c r="Q93" s="298">
        <v>0.32607670833414099</v>
      </c>
      <c r="R93" s="298">
        <v>0.32607670833414099</v>
      </c>
      <c r="S93" s="298">
        <v>0.32607670833414099</v>
      </c>
      <c r="T93" s="298">
        <v>0.32607670833414099</v>
      </c>
      <c r="U93" s="298">
        <v>0.32607670833414099</v>
      </c>
    </row>
    <row r="94" spans="1:21" ht="14.4" x14ac:dyDescent="0.3">
      <c r="A94" s="43">
        <v>32</v>
      </c>
      <c r="B94" s="43"/>
      <c r="C94"/>
      <c r="D94" s="298">
        <v>4.4424581385988397E-3</v>
      </c>
      <c r="E94" s="298">
        <v>4.2539054443031452E-3</v>
      </c>
      <c r="F94" s="298">
        <v>4.0659122535513558E-3</v>
      </c>
      <c r="G94" s="298">
        <v>3.8773595592556617E-3</v>
      </c>
      <c r="H94" s="298">
        <v>3.8605744529385381E-3</v>
      </c>
      <c r="I94" s="298">
        <v>3.8605744529385381E-3</v>
      </c>
      <c r="J94" s="298">
        <v>3.8605744529385381E-3</v>
      </c>
      <c r="K94" s="298">
        <v>3.8605744529385381E-3</v>
      </c>
      <c r="L94" s="298">
        <v>3.8605744529385381E-3</v>
      </c>
      <c r="M94" s="298">
        <v>3.8605744529385381E-3</v>
      </c>
      <c r="N94" s="298">
        <v>3.8605744529385381E-3</v>
      </c>
      <c r="O94" s="298">
        <v>3.8605744529385381E-3</v>
      </c>
      <c r="P94" s="298">
        <v>3.8605744529385381E-3</v>
      </c>
      <c r="Q94" s="298">
        <v>3.8605744529385381E-3</v>
      </c>
      <c r="R94" s="298">
        <v>3.8605744529385381E-3</v>
      </c>
      <c r="S94" s="298">
        <v>3.8605744529385381E-3</v>
      </c>
      <c r="T94" s="298">
        <v>3.8605744529385381E-3</v>
      </c>
      <c r="U94" s="298">
        <v>3.8605744529385381E-3</v>
      </c>
    </row>
    <row r="95" spans="1:21" ht="14.4" x14ac:dyDescent="0.3">
      <c r="A95" s="43">
        <v>33</v>
      </c>
      <c r="B95" s="43"/>
      <c r="C95"/>
      <c r="D95" s="298">
        <v>3.9151474776729251E-4</v>
      </c>
      <c r="E95" s="298">
        <v>3.7489756011016681E-4</v>
      </c>
      <c r="F95" s="298">
        <v>3.5832968161522856E-4</v>
      </c>
      <c r="G95" s="298">
        <v>3.4171249395810287E-4</v>
      </c>
      <c r="H95" s="298">
        <v>3.4023321909248342E-4</v>
      </c>
      <c r="I95" s="298">
        <v>3.4023321909248342E-4</v>
      </c>
      <c r="J95" s="298">
        <v>3.4023321909248342E-4</v>
      </c>
      <c r="K95" s="298">
        <v>3.4023321909248342E-4</v>
      </c>
      <c r="L95" s="298">
        <v>3.4023321909248342E-4</v>
      </c>
      <c r="M95" s="298">
        <v>3.4023321909248342E-4</v>
      </c>
      <c r="N95" s="298">
        <v>3.4023321909248342E-4</v>
      </c>
      <c r="O95" s="298">
        <v>3.4023321909248342E-4</v>
      </c>
      <c r="P95" s="298">
        <v>3.4023321909248342E-4</v>
      </c>
      <c r="Q95" s="298">
        <v>3.4023321909248342E-4</v>
      </c>
      <c r="R95" s="298">
        <v>3.4023321909248342E-4</v>
      </c>
      <c r="S95" s="298">
        <v>3.4023321909248342E-4</v>
      </c>
      <c r="T95" s="298">
        <v>3.4023321909248342E-4</v>
      </c>
      <c r="U95" s="298">
        <v>3.4023321909248342E-4</v>
      </c>
    </row>
    <row r="96" spans="1:21" ht="14.4" x14ac:dyDescent="0.3">
      <c r="A96" s="43">
        <v>34</v>
      </c>
      <c r="B96" s="43"/>
      <c r="C96"/>
      <c r="D96" s="298">
        <v>4.3908763413790649E-3</v>
      </c>
      <c r="E96" s="298">
        <v>4.2045129500636056E-3</v>
      </c>
      <c r="F96" s="298">
        <v>4.018702565844039E-3</v>
      </c>
      <c r="G96" s="298">
        <v>3.8323391745285792E-3</v>
      </c>
      <c r="H96" s="298">
        <v>3.8157489616518327E-3</v>
      </c>
      <c r="I96" s="298">
        <v>3.8157489616518327E-3</v>
      </c>
      <c r="J96" s="298">
        <v>3.8157489616518327E-3</v>
      </c>
      <c r="K96" s="298">
        <v>3.8157489616518327E-3</v>
      </c>
      <c r="L96" s="298">
        <v>3.8157489616518327E-3</v>
      </c>
      <c r="M96" s="298">
        <v>3.8157489616518327E-3</v>
      </c>
      <c r="N96" s="298">
        <v>3.8157489616518327E-3</v>
      </c>
      <c r="O96" s="298">
        <v>3.8157489616518327E-3</v>
      </c>
      <c r="P96" s="298">
        <v>3.8157489616518327E-3</v>
      </c>
      <c r="Q96" s="298">
        <v>3.8157489616518327E-3</v>
      </c>
      <c r="R96" s="298">
        <v>3.8157489616518327E-3</v>
      </c>
      <c r="S96" s="298">
        <v>3.8157489616518327E-3</v>
      </c>
      <c r="T96" s="298">
        <v>3.8157489616518327E-3</v>
      </c>
      <c r="U96" s="298">
        <v>3.8157489616518327E-3</v>
      </c>
    </row>
    <row r="97" spans="1:21" ht="14.4" x14ac:dyDescent="0.3">
      <c r="A97" s="43">
        <v>35</v>
      </c>
      <c r="B97" s="43"/>
      <c r="C97"/>
      <c r="D97" s="298">
        <v>0.28137093963309123</v>
      </c>
      <c r="E97" s="298">
        <v>0.2694286214144071</v>
      </c>
      <c r="F97" s="298">
        <v>0.25752174034177255</v>
      </c>
      <c r="G97" s="298">
        <v>0.24557942212308842</v>
      </c>
      <c r="H97" s="298">
        <v>0.24451630774160321</v>
      </c>
      <c r="I97" s="298">
        <v>0.24451630774160321</v>
      </c>
      <c r="J97" s="298">
        <v>0.24451630774160321</v>
      </c>
      <c r="K97" s="298">
        <v>0.24451630774160321</v>
      </c>
      <c r="L97" s="298">
        <v>0.24451630774160321</v>
      </c>
      <c r="M97" s="298">
        <v>0.24451630774160321</v>
      </c>
      <c r="N97" s="298">
        <v>0.24451630774160321</v>
      </c>
      <c r="O97" s="298">
        <v>0.24451630774160321</v>
      </c>
      <c r="P97" s="298">
        <v>0.24451630774160321</v>
      </c>
      <c r="Q97" s="298">
        <v>0.24451630774160321</v>
      </c>
      <c r="R97" s="298">
        <v>0.24451630774160321</v>
      </c>
      <c r="S97" s="298">
        <v>0.24451630774160321</v>
      </c>
      <c r="T97" s="298">
        <v>0.24451630774160321</v>
      </c>
      <c r="U97" s="298">
        <v>0.24451630774160321</v>
      </c>
    </row>
    <row r="98" spans="1:21" ht="14.4" x14ac:dyDescent="0.3">
      <c r="A98" s="43">
        <v>36</v>
      </c>
      <c r="B98" s="43"/>
      <c r="C98"/>
      <c r="D98" s="298">
        <v>1.0040096615005793E-3</v>
      </c>
      <c r="E98" s="298">
        <v>9.613961531975949E-4</v>
      </c>
      <c r="F98" s="298">
        <v>9.1890909447414485E-4</v>
      </c>
      <c r="G98" s="298">
        <v>8.7629558617116036E-4</v>
      </c>
      <c r="H98" s="298">
        <v>8.7250209878513821E-4</v>
      </c>
      <c r="I98" s="298">
        <v>8.7250209878513821E-4</v>
      </c>
      <c r="J98" s="298">
        <v>8.7250209878513821E-4</v>
      </c>
      <c r="K98" s="298">
        <v>8.7250209878513821E-4</v>
      </c>
      <c r="L98" s="298">
        <v>8.7250209878513821E-4</v>
      </c>
      <c r="M98" s="298">
        <v>8.7250209878513821E-4</v>
      </c>
      <c r="N98" s="298">
        <v>8.7250209878513821E-4</v>
      </c>
      <c r="O98" s="298">
        <v>8.7250209878513821E-4</v>
      </c>
      <c r="P98" s="298">
        <v>8.7250209878513821E-4</v>
      </c>
      <c r="Q98" s="298">
        <v>8.7250209878513821E-4</v>
      </c>
      <c r="R98" s="298">
        <v>8.7250209878513821E-4</v>
      </c>
      <c r="S98" s="298">
        <v>8.7250209878513821E-4</v>
      </c>
      <c r="T98" s="298">
        <v>8.7250209878513821E-4</v>
      </c>
      <c r="U98" s="298">
        <v>8.7250209878513821E-4</v>
      </c>
    </row>
    <row r="99" spans="1:21" ht="14.4" x14ac:dyDescent="0.3">
      <c r="A99" s="43">
        <v>37</v>
      </c>
      <c r="B99" s="43"/>
      <c r="C99"/>
      <c r="D99" s="298">
        <v>0.27092015251503732</v>
      </c>
      <c r="E99" s="298">
        <v>0.25942140044985246</v>
      </c>
      <c r="F99" s="298">
        <v>0.24795676931067712</v>
      </c>
      <c r="G99" s="298">
        <v>0.23645801724549223</v>
      </c>
      <c r="H99" s="298">
        <v>0.23543438946520875</v>
      </c>
      <c r="I99" s="298">
        <v>0.23543438946520875</v>
      </c>
      <c r="J99" s="298">
        <v>0.23543438946520875</v>
      </c>
      <c r="K99" s="298">
        <v>0.23543438946520875</v>
      </c>
      <c r="L99" s="298">
        <v>0.23543438946520875</v>
      </c>
      <c r="M99" s="298">
        <v>0.23543438946520875</v>
      </c>
      <c r="N99" s="298">
        <v>0.23543438946520875</v>
      </c>
      <c r="O99" s="298">
        <v>0.23543438946520875</v>
      </c>
      <c r="P99" s="298">
        <v>0.23543438946520875</v>
      </c>
      <c r="Q99" s="298">
        <v>0.23543438946520875</v>
      </c>
      <c r="R99" s="298">
        <v>0.23543438946520875</v>
      </c>
      <c r="S99" s="298">
        <v>0.23543438946520875</v>
      </c>
      <c r="T99" s="298">
        <v>0.23543438946520875</v>
      </c>
      <c r="U99" s="298">
        <v>0.23543438946520875</v>
      </c>
    </row>
    <row r="100" spans="1:21" ht="14.4" x14ac:dyDescent="0.3">
      <c r="A100" s="43">
        <v>38</v>
      </c>
      <c r="B100" s="43"/>
      <c r="C100"/>
      <c r="D100" s="298">
        <v>1.8622727625131231E-3</v>
      </c>
      <c r="E100" s="298">
        <v>1.7832317145324021E-3</v>
      </c>
      <c r="F100" s="298">
        <v>1.7044252097207641E-3</v>
      </c>
      <c r="G100" s="298">
        <v>1.6253841617400431E-3</v>
      </c>
      <c r="H100" s="298">
        <v>1.6183478666675756E-3</v>
      </c>
      <c r="I100" s="298">
        <v>1.6183478666675756E-3</v>
      </c>
      <c r="J100" s="298">
        <v>1.6183478666675756E-3</v>
      </c>
      <c r="K100" s="298">
        <v>1.6183478666675756E-3</v>
      </c>
      <c r="L100" s="298">
        <v>1.6183478666675756E-3</v>
      </c>
      <c r="M100" s="298">
        <v>1.6183478666675756E-3</v>
      </c>
      <c r="N100" s="298">
        <v>1.6183478666675756E-3</v>
      </c>
      <c r="O100" s="298">
        <v>1.6183478666675756E-3</v>
      </c>
      <c r="P100" s="298">
        <v>1.6183478666675756E-3</v>
      </c>
      <c r="Q100" s="298">
        <v>1.6183478666675756E-3</v>
      </c>
      <c r="R100" s="298">
        <v>1.6183478666675756E-3</v>
      </c>
      <c r="S100" s="298">
        <v>1.6183478666675756E-3</v>
      </c>
      <c r="T100" s="298">
        <v>1.6183478666675756E-3</v>
      </c>
      <c r="U100" s="298">
        <v>1.6183478666675756E-3</v>
      </c>
    </row>
    <row r="101" spans="1:21" ht="14.4" x14ac:dyDescent="0.3">
      <c r="A101" s="43">
        <v>39</v>
      </c>
      <c r="B101" s="43"/>
      <c r="C101"/>
      <c r="D101" s="298">
        <v>1.0570059255579811E-3</v>
      </c>
      <c r="E101" s="298">
        <v>1.0121430795991598E-3</v>
      </c>
      <c r="F101" s="298">
        <v>9.6741335781232358E-4</v>
      </c>
      <c r="G101" s="298">
        <v>9.2255051185350235E-4</v>
      </c>
      <c r="H101" s="298">
        <v>9.185567866939635E-4</v>
      </c>
      <c r="I101" s="298">
        <v>9.185567866939635E-4</v>
      </c>
      <c r="J101" s="298">
        <v>9.185567866939635E-4</v>
      </c>
      <c r="K101" s="298">
        <v>9.185567866939635E-4</v>
      </c>
      <c r="L101" s="298">
        <v>9.185567866939635E-4</v>
      </c>
      <c r="M101" s="298">
        <v>9.185567866939635E-4</v>
      </c>
      <c r="N101" s="298">
        <v>9.185567866939635E-4</v>
      </c>
      <c r="O101" s="298">
        <v>9.185567866939635E-4</v>
      </c>
      <c r="P101" s="298">
        <v>9.185567866939635E-4</v>
      </c>
      <c r="Q101" s="298">
        <v>9.185567866939635E-4</v>
      </c>
      <c r="R101" s="298">
        <v>9.185567866939635E-4</v>
      </c>
      <c r="S101" s="298">
        <v>9.185567866939635E-4</v>
      </c>
      <c r="T101" s="298">
        <v>9.185567866939635E-4</v>
      </c>
      <c r="U101" s="298">
        <v>9.185567866939635E-4</v>
      </c>
    </row>
    <row r="102" spans="1:21" ht="14.4" x14ac:dyDescent="0.3">
      <c r="A102" s="43">
        <v>40</v>
      </c>
      <c r="B102" s="43"/>
      <c r="C102"/>
      <c r="D102" s="298">
        <v>2.5153513422795128E-3</v>
      </c>
      <c r="E102" s="298">
        <v>2.4085914679283543E-3</v>
      </c>
      <c r="F102" s="298">
        <v>2.3021483884565768E-3</v>
      </c>
      <c r="G102" s="298">
        <v>2.1953885141054183E-3</v>
      </c>
      <c r="H102" s="298">
        <v>2.1858846677240097E-3</v>
      </c>
      <c r="I102" s="298">
        <v>2.1858846677240097E-3</v>
      </c>
      <c r="J102" s="298">
        <v>2.1858846677240097E-3</v>
      </c>
      <c r="K102" s="298">
        <v>2.1858846677240097E-3</v>
      </c>
      <c r="L102" s="298">
        <v>2.1858846677240097E-3</v>
      </c>
      <c r="M102" s="298">
        <v>2.1858846677240097E-3</v>
      </c>
      <c r="N102" s="298">
        <v>2.1858846677240097E-3</v>
      </c>
      <c r="O102" s="298">
        <v>2.1858846677240097E-3</v>
      </c>
      <c r="P102" s="298">
        <v>2.1858846677240097E-3</v>
      </c>
      <c r="Q102" s="298">
        <v>2.1858846677240097E-3</v>
      </c>
      <c r="R102" s="298">
        <v>2.1858846677240097E-3</v>
      </c>
      <c r="S102" s="298">
        <v>2.1858846677240097E-3</v>
      </c>
      <c r="T102" s="298">
        <v>2.1858846677240097E-3</v>
      </c>
      <c r="U102" s="298">
        <v>2.1858846677240097E-3</v>
      </c>
    </row>
    <row r="103" spans="1:21" ht="14.4" x14ac:dyDescent="0.3">
      <c r="A103" s="43">
        <v>41</v>
      </c>
      <c r="B103" s="43"/>
      <c r="C103"/>
      <c r="D103" s="298">
        <v>0.20191949245733634</v>
      </c>
      <c r="E103" s="298">
        <v>0.19334935782784987</v>
      </c>
      <c r="F103" s="298">
        <v>0.18480465386491982</v>
      </c>
      <c r="G103" s="298">
        <v>0.17623451923543335</v>
      </c>
      <c r="H103" s="298">
        <v>0.17547159923874317</v>
      </c>
      <c r="I103" s="298">
        <v>0.17547159923874317</v>
      </c>
      <c r="J103" s="298">
        <v>0.17547159923874317</v>
      </c>
      <c r="K103" s="298">
        <v>0.17547159923874317</v>
      </c>
      <c r="L103" s="298">
        <v>0.17547159923874317</v>
      </c>
      <c r="M103" s="298">
        <v>0.17547159923874317</v>
      </c>
      <c r="N103" s="298">
        <v>0.17547159923874317</v>
      </c>
      <c r="O103" s="298">
        <v>0.17547159923874317</v>
      </c>
      <c r="P103" s="298">
        <v>0.17547159923874317</v>
      </c>
      <c r="Q103" s="298">
        <v>0.17547159923874317</v>
      </c>
      <c r="R103" s="298">
        <v>0.17547159923874317</v>
      </c>
      <c r="S103" s="298">
        <v>0.17547159923874317</v>
      </c>
      <c r="T103" s="298">
        <v>0.17547159923874317</v>
      </c>
      <c r="U103" s="298">
        <v>0.17547159923874317</v>
      </c>
    </row>
    <row r="104" spans="1:21" ht="14.4" x14ac:dyDescent="0.3">
      <c r="A104" s="43">
        <v>42</v>
      </c>
      <c r="B104" s="43"/>
      <c r="C104"/>
      <c r="D104" s="298">
        <v>3.8340122241814256E-4</v>
      </c>
      <c r="E104" s="298">
        <v>3.671283997537957E-4</v>
      </c>
      <c r="F104" s="298">
        <v>3.5090386439705823E-4</v>
      </c>
      <c r="G104" s="298">
        <v>3.3463104173271131E-4</v>
      </c>
      <c r="H104" s="298">
        <v>3.3318242250443119E-4</v>
      </c>
      <c r="I104" s="298">
        <v>3.3318242250443119E-4</v>
      </c>
      <c r="J104" s="298">
        <v>3.3318242250443119E-4</v>
      </c>
      <c r="K104" s="298">
        <v>3.3318242250443119E-4</v>
      </c>
      <c r="L104" s="298">
        <v>3.3318242250443119E-4</v>
      </c>
      <c r="M104" s="298">
        <v>3.3318242250443119E-4</v>
      </c>
      <c r="N104" s="298">
        <v>3.3318242250443119E-4</v>
      </c>
      <c r="O104" s="298">
        <v>3.3318242250443119E-4</v>
      </c>
      <c r="P104" s="298">
        <v>3.3318242250443119E-4</v>
      </c>
      <c r="Q104" s="298">
        <v>3.3318242250443119E-4</v>
      </c>
      <c r="R104" s="298">
        <v>3.3318242250443119E-4</v>
      </c>
      <c r="S104" s="298">
        <v>3.3318242250443119E-4</v>
      </c>
      <c r="T104" s="298">
        <v>3.3318242250443119E-4</v>
      </c>
      <c r="U104" s="298">
        <v>3.3318242250443119E-4</v>
      </c>
    </row>
    <row r="105" spans="1:21" ht="14.4" x14ac:dyDescent="0.3">
      <c r="A105" s="43">
        <v>43</v>
      </c>
      <c r="B105" s="43"/>
      <c r="C105"/>
      <c r="D105" s="298">
        <v>0.17961384514704054</v>
      </c>
      <c r="E105" s="298">
        <v>0.17199043635427569</v>
      </c>
      <c r="F105" s="298">
        <v>0.16438964895258737</v>
      </c>
      <c r="G105" s="298">
        <v>0.15676624015982252</v>
      </c>
      <c r="H105" s="298">
        <v>0.15608759842752892</v>
      </c>
      <c r="I105" s="298">
        <v>0.15608759842752892</v>
      </c>
      <c r="J105" s="298">
        <v>0.15608759842752892</v>
      </c>
      <c r="K105" s="298">
        <v>0.15608759842752892</v>
      </c>
      <c r="L105" s="298">
        <v>0.15608759842752892</v>
      </c>
      <c r="M105" s="298">
        <v>0.15608759842752892</v>
      </c>
      <c r="N105" s="298">
        <v>0.15608759842752892</v>
      </c>
      <c r="O105" s="298">
        <v>0.15608759842752892</v>
      </c>
      <c r="P105" s="298">
        <v>0.15608759842752892</v>
      </c>
      <c r="Q105" s="298">
        <v>0.15608759842752892</v>
      </c>
      <c r="R105" s="298">
        <v>0.15608759842752892</v>
      </c>
      <c r="S105" s="298">
        <v>0.15608759842752892</v>
      </c>
      <c r="T105" s="298">
        <v>0.15608759842752892</v>
      </c>
      <c r="U105" s="298">
        <v>0.15608759842752892</v>
      </c>
    </row>
    <row r="106" spans="1:21" ht="14.4" x14ac:dyDescent="0.3">
      <c r="A106" s="43">
        <v>44</v>
      </c>
      <c r="B106" s="43"/>
      <c r="C106"/>
      <c r="D106" s="298">
        <v>2.9535913908984327E-3</v>
      </c>
      <c r="E106" s="298">
        <v>2.8282311517633229E-3</v>
      </c>
      <c r="F106" s="298">
        <v>2.7032429014683767E-3</v>
      </c>
      <c r="G106" s="298">
        <v>2.5778826623332669E-3</v>
      </c>
      <c r="H106" s="298">
        <v>2.5667229971283612E-3</v>
      </c>
      <c r="I106" s="298">
        <v>2.5667229971283612E-3</v>
      </c>
      <c r="J106" s="298">
        <v>2.5667229971283612E-3</v>
      </c>
      <c r="K106" s="298">
        <v>2.5667229971283612E-3</v>
      </c>
      <c r="L106" s="298">
        <v>2.5667229971283612E-3</v>
      </c>
      <c r="M106" s="298">
        <v>2.5667229971283612E-3</v>
      </c>
      <c r="N106" s="298">
        <v>2.5667229971283612E-3</v>
      </c>
      <c r="O106" s="298">
        <v>2.5667229971283612E-3</v>
      </c>
      <c r="P106" s="298">
        <v>2.5667229971283612E-3</v>
      </c>
      <c r="Q106" s="298">
        <v>2.5667229971283612E-3</v>
      </c>
      <c r="R106" s="298">
        <v>2.5667229971283612E-3</v>
      </c>
      <c r="S106" s="298">
        <v>2.5667229971283612E-3</v>
      </c>
      <c r="T106" s="298">
        <v>2.5667229971283612E-3</v>
      </c>
      <c r="U106" s="298">
        <v>2.5667229971283612E-3</v>
      </c>
    </row>
    <row r="107" spans="1:21" ht="14.4" x14ac:dyDescent="0.3">
      <c r="A107" s="43">
        <v>45</v>
      </c>
      <c r="B107" s="43"/>
      <c r="C107"/>
      <c r="D107" s="298">
        <v>5.62414186424853E-4</v>
      </c>
      <c r="E107" s="298">
        <v>5.385434583612288E-4</v>
      </c>
      <c r="F107" s="298">
        <v>5.1474356331856509E-4</v>
      </c>
      <c r="G107" s="298">
        <v>4.9087283525494089E-4</v>
      </c>
      <c r="H107" s="298">
        <v>4.8874784462613172E-4</v>
      </c>
      <c r="I107" s="298">
        <v>4.8874784462613172E-4</v>
      </c>
      <c r="J107" s="298">
        <v>4.8874784462613172E-4</v>
      </c>
      <c r="K107" s="298">
        <v>4.8874784462613172E-4</v>
      </c>
      <c r="L107" s="298">
        <v>4.8874784462613172E-4</v>
      </c>
      <c r="M107" s="298">
        <v>4.8874784462613172E-4</v>
      </c>
      <c r="N107" s="298">
        <v>4.8874784462613172E-4</v>
      </c>
      <c r="O107" s="298">
        <v>4.8874784462613172E-4</v>
      </c>
      <c r="P107" s="298">
        <v>4.8874784462613172E-4</v>
      </c>
      <c r="Q107" s="298">
        <v>4.8874784462613172E-4</v>
      </c>
      <c r="R107" s="298">
        <v>4.8874784462613172E-4</v>
      </c>
      <c r="S107" s="298">
        <v>4.8874784462613172E-4</v>
      </c>
      <c r="T107" s="298">
        <v>4.8874784462613172E-4</v>
      </c>
      <c r="U107" s="298">
        <v>4.8874784462613172E-4</v>
      </c>
    </row>
    <row r="108" spans="1:21" ht="14.4" x14ac:dyDescent="0.3">
      <c r="A108" s="43">
        <v>46</v>
      </c>
      <c r="B108" s="43"/>
      <c r="C108"/>
      <c r="D108" s="298">
        <v>2.2562469109391674E-3</v>
      </c>
      <c r="E108" s="298">
        <v>2.1604842901600109E-3</v>
      </c>
      <c r="F108" s="298">
        <v>2.0650058314603185E-3</v>
      </c>
      <c r="G108" s="298">
        <v>1.9692432106811625E-3</v>
      </c>
      <c r="H108" s="298">
        <v>1.9607183482972614E-3</v>
      </c>
      <c r="I108" s="298">
        <v>1.9607183482972614E-3</v>
      </c>
      <c r="J108" s="298">
        <v>1.9607183482972614E-3</v>
      </c>
      <c r="K108" s="298">
        <v>1.9607183482972614E-3</v>
      </c>
      <c r="L108" s="298">
        <v>1.9607183482972614E-3</v>
      </c>
      <c r="M108" s="298">
        <v>1.9607183482972614E-3</v>
      </c>
      <c r="N108" s="298">
        <v>1.9607183482972614E-3</v>
      </c>
      <c r="O108" s="298">
        <v>1.9607183482972614E-3</v>
      </c>
      <c r="P108" s="298">
        <v>1.9607183482972614E-3</v>
      </c>
      <c r="Q108" s="298">
        <v>1.9607183482972614E-3</v>
      </c>
      <c r="R108" s="298">
        <v>1.9607183482972614E-3</v>
      </c>
      <c r="S108" s="298">
        <v>1.9607183482972614E-3</v>
      </c>
      <c r="T108" s="298">
        <v>1.9607183482972614E-3</v>
      </c>
      <c r="U108" s="298">
        <v>1.9607183482972614E-3</v>
      </c>
    </row>
    <row r="109" spans="1:21" ht="14.4" x14ac:dyDescent="0.3">
      <c r="A109" s="43">
        <v>47</v>
      </c>
      <c r="B109" s="43"/>
      <c r="C109"/>
      <c r="D109" s="298">
        <v>0.16909722628179949</v>
      </c>
      <c r="E109" s="298">
        <v>0.16192017776077094</v>
      </c>
      <c r="F109" s="298">
        <v>0.15476442611962682</v>
      </c>
      <c r="G109" s="298">
        <v>0.14758737759859827</v>
      </c>
      <c r="H109" s="298">
        <v>0.14694847120206758</v>
      </c>
      <c r="I109" s="298">
        <v>0.14694847120206758</v>
      </c>
      <c r="J109" s="298">
        <v>0.14694847120206758</v>
      </c>
      <c r="K109" s="298">
        <v>0.14694847120206758</v>
      </c>
      <c r="L109" s="298">
        <v>0.14694847120206758</v>
      </c>
      <c r="M109" s="298">
        <v>0.14694847120206758</v>
      </c>
      <c r="N109" s="298">
        <v>0.14694847120206758</v>
      </c>
      <c r="O109" s="298">
        <v>0.14694847120206758</v>
      </c>
      <c r="P109" s="298">
        <v>0.14694847120206758</v>
      </c>
      <c r="Q109" s="298">
        <v>0.14694847120206758</v>
      </c>
      <c r="R109" s="298">
        <v>0.14694847120206758</v>
      </c>
      <c r="S109" s="298">
        <v>0.14694847120206758</v>
      </c>
      <c r="T109" s="298">
        <v>0.14694847120206758</v>
      </c>
      <c r="U109" s="298">
        <v>0.14694847120206758</v>
      </c>
    </row>
    <row r="110" spans="1:21" ht="14.4" x14ac:dyDescent="0.3">
      <c r="A110" s="43">
        <v>48</v>
      </c>
      <c r="B110" s="43"/>
      <c r="C110"/>
      <c r="D110" s="298">
        <v>8.0287041423767705E-4</v>
      </c>
      <c r="E110" s="298">
        <v>7.6879392436386121E-4</v>
      </c>
      <c r="F110" s="298">
        <v>7.348185516706801E-4</v>
      </c>
      <c r="G110" s="298">
        <v>7.0074206179686414E-4</v>
      </c>
      <c r="H110" s="298">
        <v>6.9770854637783025E-4</v>
      </c>
      <c r="I110" s="298">
        <v>6.9770854637783025E-4</v>
      </c>
      <c r="J110" s="298">
        <v>6.9770854637783025E-4</v>
      </c>
      <c r="K110" s="298">
        <v>6.9770854637783025E-4</v>
      </c>
      <c r="L110" s="298">
        <v>6.9770854637783025E-4</v>
      </c>
      <c r="M110" s="298">
        <v>6.9770854637783025E-4</v>
      </c>
      <c r="N110" s="298">
        <v>6.9770854637783025E-4</v>
      </c>
      <c r="O110" s="298">
        <v>6.9770854637783025E-4</v>
      </c>
      <c r="P110" s="298">
        <v>6.9770854637783025E-4</v>
      </c>
      <c r="Q110" s="298">
        <v>6.9770854637783025E-4</v>
      </c>
      <c r="R110" s="298">
        <v>6.9770854637783025E-4</v>
      </c>
      <c r="S110" s="298">
        <v>6.9770854637783025E-4</v>
      </c>
      <c r="T110" s="298">
        <v>6.9770854637783025E-4</v>
      </c>
      <c r="U110" s="298">
        <v>6.9770854637783025E-4</v>
      </c>
    </row>
    <row r="111" spans="1:21" ht="14.4" x14ac:dyDescent="0.3">
      <c r="A111" s="43">
        <v>49</v>
      </c>
      <c r="B111" s="43"/>
      <c r="C111"/>
      <c r="D111" s="298">
        <v>0.14794140874690948</v>
      </c>
      <c r="E111" s="298">
        <v>0.14166228346382276</v>
      </c>
      <c r="F111" s="298">
        <v>0.1354017905999737</v>
      </c>
      <c r="G111" s="298">
        <v>0.12912266531688699</v>
      </c>
      <c r="H111" s="298">
        <v>0.1285636927397576</v>
      </c>
      <c r="I111" s="298">
        <v>0.1285636927397576</v>
      </c>
      <c r="J111" s="298">
        <v>0.1285636927397576</v>
      </c>
      <c r="K111" s="298">
        <v>0.1285636927397576</v>
      </c>
      <c r="L111" s="298">
        <v>0.1285636927397576</v>
      </c>
      <c r="M111" s="298">
        <v>0.1285636927397576</v>
      </c>
      <c r="N111" s="298">
        <v>0.1285636927397576</v>
      </c>
      <c r="O111" s="298">
        <v>0.1285636927397576</v>
      </c>
      <c r="P111" s="298">
        <v>0.1285636927397576</v>
      </c>
      <c r="Q111" s="298">
        <v>0.1285636927397576</v>
      </c>
      <c r="R111" s="298">
        <v>0.1285636927397576</v>
      </c>
      <c r="S111" s="298">
        <v>0.1285636927397576</v>
      </c>
      <c r="T111" s="298">
        <v>0.1285636927397576</v>
      </c>
      <c r="U111" s="298">
        <v>0.1285636927397576</v>
      </c>
    </row>
    <row r="112" spans="1:21" ht="14.4" x14ac:dyDescent="0.3">
      <c r="A112" s="43">
        <v>50</v>
      </c>
      <c r="B112" s="43"/>
      <c r="C112"/>
      <c r="D112" s="298">
        <v>2.2559399315124204E-3</v>
      </c>
      <c r="E112" s="298">
        <v>2.1601903399608223E-3</v>
      </c>
      <c r="F112" s="298">
        <v>2.0647248718262921E-3</v>
      </c>
      <c r="G112" s="298">
        <v>1.9689752802746941E-3</v>
      </c>
      <c r="H112" s="298">
        <v>1.9604515777626825E-3</v>
      </c>
      <c r="I112" s="298">
        <v>1.9604515777626825E-3</v>
      </c>
      <c r="J112" s="298">
        <v>1.9604515777626825E-3</v>
      </c>
      <c r="K112" s="298">
        <v>1.9604515777626825E-3</v>
      </c>
      <c r="L112" s="298">
        <v>1.9604515777626825E-3</v>
      </c>
      <c r="M112" s="298">
        <v>1.9604515777626825E-3</v>
      </c>
      <c r="N112" s="298">
        <v>1.9604515777626825E-3</v>
      </c>
      <c r="O112" s="298">
        <v>1.9604515777626825E-3</v>
      </c>
      <c r="P112" s="298">
        <v>1.9604515777626825E-3</v>
      </c>
      <c r="Q112" s="298">
        <v>1.9604515777626825E-3</v>
      </c>
      <c r="R112" s="298">
        <v>1.9604515777626825E-3</v>
      </c>
      <c r="S112" s="298">
        <v>1.9604515777626825E-3</v>
      </c>
      <c r="T112" s="298">
        <v>1.9604515777626825E-3</v>
      </c>
      <c r="U112" s="298">
        <v>1.9604515777626825E-3</v>
      </c>
    </row>
    <row r="113" spans="2:21" x14ac:dyDescent="0.25">
      <c r="D113" s="51"/>
      <c r="E113" s="32"/>
      <c r="F113" s="32"/>
      <c r="G113" s="32"/>
    </row>
    <row r="114" spans="2:21" x14ac:dyDescent="0.25">
      <c r="B114" s="26" t="s">
        <v>5</v>
      </c>
      <c r="D114" s="32">
        <f t="shared" ref="D114:U114" si="7">SQRT(SUMSQ(D64:D112))</f>
        <v>7.9343393760521677</v>
      </c>
      <c r="E114" s="32">
        <f t="shared" si="7"/>
        <v>7.597579631753729</v>
      </c>
      <c r="F114" s="32">
        <f t="shared" si="7"/>
        <v>7.2618191745303644</v>
      </c>
      <c r="G114" s="32">
        <f t="shared" si="7"/>
        <v>6.9250594302319293</v>
      </c>
      <c r="H114" s="32">
        <f t="shared" si="7"/>
        <v>6.8950808179798431</v>
      </c>
      <c r="I114" s="32">
        <f t="shared" si="7"/>
        <v>6.8950808179798431</v>
      </c>
      <c r="J114" s="32">
        <f t="shared" si="7"/>
        <v>6.8950808179798431</v>
      </c>
      <c r="K114" s="32">
        <f t="shared" si="7"/>
        <v>6.8950808179798431</v>
      </c>
      <c r="L114" s="32">
        <f t="shared" si="7"/>
        <v>6.8950808179798431</v>
      </c>
      <c r="M114" s="32">
        <f t="shared" si="7"/>
        <v>6.8950808179798431</v>
      </c>
      <c r="N114" s="32">
        <f t="shared" si="7"/>
        <v>6.8950808179798431</v>
      </c>
      <c r="O114" s="32">
        <f t="shared" si="7"/>
        <v>6.8950808179798431</v>
      </c>
      <c r="P114" s="32">
        <f t="shared" si="7"/>
        <v>6.8950808179798431</v>
      </c>
      <c r="Q114" s="32">
        <f t="shared" si="7"/>
        <v>6.8950808179798431</v>
      </c>
      <c r="R114" s="32">
        <f t="shared" si="7"/>
        <v>6.8950808179798431</v>
      </c>
      <c r="S114" s="32">
        <f t="shared" si="7"/>
        <v>6.8950808179798431</v>
      </c>
      <c r="T114" s="32">
        <f t="shared" si="7"/>
        <v>6.8950808179798431</v>
      </c>
      <c r="U114" s="32">
        <f t="shared" si="7"/>
        <v>6.8950808179798431</v>
      </c>
    </row>
    <row r="115" spans="2:21" x14ac:dyDescent="0.25">
      <c r="S115" s="82"/>
    </row>
    <row r="116" spans="2:21" x14ac:dyDescent="0.25">
      <c r="D116" s="32"/>
      <c r="E116" s="32"/>
      <c r="F116" s="32"/>
      <c r="G116" s="32"/>
      <c r="H116" s="32"/>
      <c r="I116" s="32"/>
      <c r="M116" s="32"/>
      <c r="N116" s="32"/>
    </row>
    <row r="118" spans="2:21" x14ac:dyDescent="0.25">
      <c r="D118" s="32"/>
      <c r="E118" s="32"/>
      <c r="F118" s="32"/>
      <c r="G118" s="32"/>
      <c r="H118" s="32"/>
      <c r="I118" s="32"/>
    </row>
  </sheetData>
  <pageMargins left="0.75" right="0.75" top="1" bottom="1" header="0.5" footer="0.5"/>
  <pageSetup scale="42" fitToHeight="2" orientation="portrait" r:id="rId1"/>
  <headerFooter alignWithMargins="0">
    <oddHeader>&amp;R&amp;D
&amp;T
rh</oddHeader>
    <oddFooter>&amp;L&amp;F
&amp;A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U118"/>
  <sheetViews>
    <sheetView workbookViewId="0"/>
  </sheetViews>
  <sheetFormatPr defaultRowHeight="13.2" x14ac:dyDescent="0.25"/>
  <cols>
    <col min="1" max="6" width="9.109375" style="26"/>
    <col min="7" max="7" width="9.109375" style="26" customWidth="1"/>
    <col min="8" max="8" width="10.6640625" style="26" customWidth="1"/>
    <col min="9" max="262" width="9.109375" style="26"/>
    <col min="263" max="263" width="9.5546875" style="26" bestFit="1" customWidth="1"/>
    <col min="264" max="264" width="10.6640625" style="26" customWidth="1"/>
    <col min="265" max="518" width="9.109375" style="26"/>
    <col min="519" max="519" width="9.5546875" style="26" bestFit="1" customWidth="1"/>
    <col min="520" max="520" width="10.6640625" style="26" customWidth="1"/>
    <col min="521" max="774" width="9.109375" style="26"/>
    <col min="775" max="775" width="9.5546875" style="26" bestFit="1" customWidth="1"/>
    <col min="776" max="776" width="10.6640625" style="26" customWidth="1"/>
    <col min="777" max="1030" width="9.109375" style="26"/>
    <col min="1031" max="1031" width="9.5546875" style="26" bestFit="1" customWidth="1"/>
    <col min="1032" max="1032" width="10.6640625" style="26" customWidth="1"/>
    <col min="1033" max="1286" width="9.109375" style="26"/>
    <col min="1287" max="1287" width="9.5546875" style="26" bestFit="1" customWidth="1"/>
    <col min="1288" max="1288" width="10.6640625" style="26" customWidth="1"/>
    <col min="1289" max="1542" width="9.109375" style="26"/>
    <col min="1543" max="1543" width="9.5546875" style="26" bestFit="1" customWidth="1"/>
    <col min="1544" max="1544" width="10.6640625" style="26" customWidth="1"/>
    <col min="1545" max="1798" width="9.109375" style="26"/>
    <col min="1799" max="1799" width="9.5546875" style="26" bestFit="1" customWidth="1"/>
    <col min="1800" max="1800" width="10.6640625" style="26" customWidth="1"/>
    <col min="1801" max="2054" width="9.109375" style="26"/>
    <col min="2055" max="2055" width="9.5546875" style="26" bestFit="1" customWidth="1"/>
    <col min="2056" max="2056" width="10.6640625" style="26" customWidth="1"/>
    <col min="2057" max="2310" width="9.109375" style="26"/>
    <col min="2311" max="2311" width="9.5546875" style="26" bestFit="1" customWidth="1"/>
    <col min="2312" max="2312" width="10.6640625" style="26" customWidth="1"/>
    <col min="2313" max="2566" width="9.109375" style="26"/>
    <col min="2567" max="2567" width="9.5546875" style="26" bestFit="1" customWidth="1"/>
    <col min="2568" max="2568" width="10.6640625" style="26" customWidth="1"/>
    <col min="2569" max="2822" width="9.109375" style="26"/>
    <col min="2823" max="2823" width="9.5546875" style="26" bestFit="1" customWidth="1"/>
    <col min="2824" max="2824" width="10.6640625" style="26" customWidth="1"/>
    <col min="2825" max="3078" width="9.109375" style="26"/>
    <col min="3079" max="3079" width="9.5546875" style="26" bestFit="1" customWidth="1"/>
    <col min="3080" max="3080" width="10.6640625" style="26" customWidth="1"/>
    <col min="3081" max="3334" width="9.109375" style="26"/>
    <col min="3335" max="3335" width="9.5546875" style="26" bestFit="1" customWidth="1"/>
    <col min="3336" max="3336" width="10.6640625" style="26" customWidth="1"/>
    <col min="3337" max="3590" width="9.109375" style="26"/>
    <col min="3591" max="3591" width="9.5546875" style="26" bestFit="1" customWidth="1"/>
    <col min="3592" max="3592" width="10.6640625" style="26" customWidth="1"/>
    <col min="3593" max="3846" width="9.109375" style="26"/>
    <col min="3847" max="3847" width="9.5546875" style="26" bestFit="1" customWidth="1"/>
    <col min="3848" max="3848" width="10.6640625" style="26" customWidth="1"/>
    <col min="3849" max="4102" width="9.109375" style="26"/>
    <col min="4103" max="4103" width="9.5546875" style="26" bestFit="1" customWidth="1"/>
    <col min="4104" max="4104" width="10.6640625" style="26" customWidth="1"/>
    <col min="4105" max="4358" width="9.109375" style="26"/>
    <col min="4359" max="4359" width="9.5546875" style="26" bestFit="1" customWidth="1"/>
    <col min="4360" max="4360" width="10.6640625" style="26" customWidth="1"/>
    <col min="4361" max="4614" width="9.109375" style="26"/>
    <col min="4615" max="4615" width="9.5546875" style="26" bestFit="1" customWidth="1"/>
    <col min="4616" max="4616" width="10.6640625" style="26" customWidth="1"/>
    <col min="4617" max="4870" width="9.109375" style="26"/>
    <col min="4871" max="4871" width="9.5546875" style="26" bestFit="1" customWidth="1"/>
    <col min="4872" max="4872" width="10.6640625" style="26" customWidth="1"/>
    <col min="4873" max="5126" width="9.109375" style="26"/>
    <col min="5127" max="5127" width="9.5546875" style="26" bestFit="1" customWidth="1"/>
    <col min="5128" max="5128" width="10.6640625" style="26" customWidth="1"/>
    <col min="5129" max="5382" width="9.109375" style="26"/>
    <col min="5383" max="5383" width="9.5546875" style="26" bestFit="1" customWidth="1"/>
    <col min="5384" max="5384" width="10.6640625" style="26" customWidth="1"/>
    <col min="5385" max="5638" width="9.109375" style="26"/>
    <col min="5639" max="5639" width="9.5546875" style="26" bestFit="1" customWidth="1"/>
    <col min="5640" max="5640" width="10.6640625" style="26" customWidth="1"/>
    <col min="5641" max="5894" width="9.109375" style="26"/>
    <col min="5895" max="5895" width="9.5546875" style="26" bestFit="1" customWidth="1"/>
    <col min="5896" max="5896" width="10.6640625" style="26" customWidth="1"/>
    <col min="5897" max="6150" width="9.109375" style="26"/>
    <col min="6151" max="6151" width="9.5546875" style="26" bestFit="1" customWidth="1"/>
    <col min="6152" max="6152" width="10.6640625" style="26" customWidth="1"/>
    <col min="6153" max="6406" width="9.109375" style="26"/>
    <col min="6407" max="6407" width="9.5546875" style="26" bestFit="1" customWidth="1"/>
    <col min="6408" max="6408" width="10.6640625" style="26" customWidth="1"/>
    <col min="6409" max="6662" width="9.109375" style="26"/>
    <col min="6663" max="6663" width="9.5546875" style="26" bestFit="1" customWidth="1"/>
    <col min="6664" max="6664" width="10.6640625" style="26" customWidth="1"/>
    <col min="6665" max="6918" width="9.109375" style="26"/>
    <col min="6919" max="6919" width="9.5546875" style="26" bestFit="1" customWidth="1"/>
    <col min="6920" max="6920" width="10.6640625" style="26" customWidth="1"/>
    <col min="6921" max="7174" width="9.109375" style="26"/>
    <col min="7175" max="7175" width="9.5546875" style="26" bestFit="1" customWidth="1"/>
    <col min="7176" max="7176" width="10.6640625" style="26" customWidth="1"/>
    <col min="7177" max="7430" width="9.109375" style="26"/>
    <col min="7431" max="7431" width="9.5546875" style="26" bestFit="1" customWidth="1"/>
    <col min="7432" max="7432" width="10.6640625" style="26" customWidth="1"/>
    <col min="7433" max="7686" width="9.109375" style="26"/>
    <col min="7687" max="7687" width="9.5546875" style="26" bestFit="1" customWidth="1"/>
    <col min="7688" max="7688" width="10.6640625" style="26" customWidth="1"/>
    <col min="7689" max="7942" width="9.109375" style="26"/>
    <col min="7943" max="7943" width="9.5546875" style="26" bestFit="1" customWidth="1"/>
    <col min="7944" max="7944" width="10.6640625" style="26" customWidth="1"/>
    <col min="7945" max="8198" width="9.109375" style="26"/>
    <col min="8199" max="8199" width="9.5546875" style="26" bestFit="1" customWidth="1"/>
    <col min="8200" max="8200" width="10.6640625" style="26" customWidth="1"/>
    <col min="8201" max="8454" width="9.109375" style="26"/>
    <col min="8455" max="8455" width="9.5546875" style="26" bestFit="1" customWidth="1"/>
    <col min="8456" max="8456" width="10.6640625" style="26" customWidth="1"/>
    <col min="8457" max="8710" width="9.109375" style="26"/>
    <col min="8711" max="8711" width="9.5546875" style="26" bestFit="1" customWidth="1"/>
    <col min="8712" max="8712" width="10.6640625" style="26" customWidth="1"/>
    <col min="8713" max="8966" width="9.109375" style="26"/>
    <col min="8967" max="8967" width="9.5546875" style="26" bestFit="1" customWidth="1"/>
    <col min="8968" max="8968" width="10.6640625" style="26" customWidth="1"/>
    <col min="8969" max="9222" width="9.109375" style="26"/>
    <col min="9223" max="9223" width="9.5546875" style="26" bestFit="1" customWidth="1"/>
    <col min="9224" max="9224" width="10.6640625" style="26" customWidth="1"/>
    <col min="9225" max="9478" width="9.109375" style="26"/>
    <col min="9479" max="9479" width="9.5546875" style="26" bestFit="1" customWidth="1"/>
    <col min="9480" max="9480" width="10.6640625" style="26" customWidth="1"/>
    <col min="9481" max="9734" width="9.109375" style="26"/>
    <col min="9735" max="9735" width="9.5546875" style="26" bestFit="1" customWidth="1"/>
    <col min="9736" max="9736" width="10.6640625" style="26" customWidth="1"/>
    <col min="9737" max="9990" width="9.109375" style="26"/>
    <col min="9991" max="9991" width="9.5546875" style="26" bestFit="1" customWidth="1"/>
    <col min="9992" max="9992" width="10.6640625" style="26" customWidth="1"/>
    <col min="9993" max="10246" width="9.109375" style="26"/>
    <col min="10247" max="10247" width="9.5546875" style="26" bestFit="1" customWidth="1"/>
    <col min="10248" max="10248" width="10.6640625" style="26" customWidth="1"/>
    <col min="10249" max="10502" width="9.109375" style="26"/>
    <col min="10503" max="10503" width="9.5546875" style="26" bestFit="1" customWidth="1"/>
    <col min="10504" max="10504" width="10.6640625" style="26" customWidth="1"/>
    <col min="10505" max="10758" width="9.109375" style="26"/>
    <col min="10759" max="10759" width="9.5546875" style="26" bestFit="1" customWidth="1"/>
    <col min="10760" max="10760" width="10.6640625" style="26" customWidth="1"/>
    <col min="10761" max="11014" width="9.109375" style="26"/>
    <col min="11015" max="11015" width="9.5546875" style="26" bestFit="1" customWidth="1"/>
    <col min="11016" max="11016" width="10.6640625" style="26" customWidth="1"/>
    <col min="11017" max="11270" width="9.109375" style="26"/>
    <col min="11271" max="11271" width="9.5546875" style="26" bestFit="1" customWidth="1"/>
    <col min="11272" max="11272" width="10.6640625" style="26" customWidth="1"/>
    <col min="11273" max="11526" width="9.109375" style="26"/>
    <col min="11527" max="11527" width="9.5546875" style="26" bestFit="1" customWidth="1"/>
    <col min="11528" max="11528" width="10.6640625" style="26" customWidth="1"/>
    <col min="11529" max="11782" width="9.109375" style="26"/>
    <col min="11783" max="11783" width="9.5546875" style="26" bestFit="1" customWidth="1"/>
    <col min="11784" max="11784" width="10.6640625" style="26" customWidth="1"/>
    <col min="11785" max="12038" width="9.109375" style="26"/>
    <col min="12039" max="12039" width="9.5546875" style="26" bestFit="1" customWidth="1"/>
    <col min="12040" max="12040" width="10.6640625" style="26" customWidth="1"/>
    <col min="12041" max="12294" width="9.109375" style="26"/>
    <col min="12295" max="12295" width="9.5546875" style="26" bestFit="1" customWidth="1"/>
    <col min="12296" max="12296" width="10.6640625" style="26" customWidth="1"/>
    <col min="12297" max="12550" width="9.109375" style="26"/>
    <col min="12551" max="12551" width="9.5546875" style="26" bestFit="1" customWidth="1"/>
    <col min="12552" max="12552" width="10.6640625" style="26" customWidth="1"/>
    <col min="12553" max="12806" width="9.109375" style="26"/>
    <col min="12807" max="12807" width="9.5546875" style="26" bestFit="1" customWidth="1"/>
    <col min="12808" max="12808" width="10.6640625" style="26" customWidth="1"/>
    <col min="12809" max="13062" width="9.109375" style="26"/>
    <col min="13063" max="13063" width="9.5546875" style="26" bestFit="1" customWidth="1"/>
    <col min="13064" max="13064" width="10.6640625" style="26" customWidth="1"/>
    <col min="13065" max="13318" width="9.109375" style="26"/>
    <col min="13319" max="13319" width="9.5546875" style="26" bestFit="1" customWidth="1"/>
    <col min="13320" max="13320" width="10.6640625" style="26" customWidth="1"/>
    <col min="13321" max="13574" width="9.109375" style="26"/>
    <col min="13575" max="13575" width="9.5546875" style="26" bestFit="1" customWidth="1"/>
    <col min="13576" max="13576" width="10.6640625" style="26" customWidth="1"/>
    <col min="13577" max="13830" width="9.109375" style="26"/>
    <col min="13831" max="13831" width="9.5546875" style="26" bestFit="1" customWidth="1"/>
    <col min="13832" max="13832" width="10.6640625" style="26" customWidth="1"/>
    <col min="13833" max="14086" width="9.109375" style="26"/>
    <col min="14087" max="14087" width="9.5546875" style="26" bestFit="1" customWidth="1"/>
    <col min="14088" max="14088" width="10.6640625" style="26" customWidth="1"/>
    <col min="14089" max="14342" width="9.109375" style="26"/>
    <col min="14343" max="14343" width="9.5546875" style="26" bestFit="1" customWidth="1"/>
    <col min="14344" max="14344" width="10.6640625" style="26" customWidth="1"/>
    <col min="14345" max="14598" width="9.109375" style="26"/>
    <col min="14599" max="14599" width="9.5546875" style="26" bestFit="1" customWidth="1"/>
    <col min="14600" max="14600" width="10.6640625" style="26" customWidth="1"/>
    <col min="14601" max="14854" width="9.109375" style="26"/>
    <col min="14855" max="14855" width="9.5546875" style="26" bestFit="1" customWidth="1"/>
    <col min="14856" max="14856" width="10.6640625" style="26" customWidth="1"/>
    <col min="14857" max="15110" width="9.109375" style="26"/>
    <col min="15111" max="15111" width="9.5546875" style="26" bestFit="1" customWidth="1"/>
    <col min="15112" max="15112" width="10.6640625" style="26" customWidth="1"/>
    <col min="15113" max="15366" width="9.109375" style="26"/>
    <col min="15367" max="15367" width="9.5546875" style="26" bestFit="1" customWidth="1"/>
    <col min="15368" max="15368" width="10.6640625" style="26" customWidth="1"/>
    <col min="15369" max="15622" width="9.109375" style="26"/>
    <col min="15623" max="15623" width="9.5546875" style="26" bestFit="1" customWidth="1"/>
    <col min="15624" max="15624" width="10.6640625" style="26" customWidth="1"/>
    <col min="15625" max="15878" width="9.109375" style="26"/>
    <col min="15879" max="15879" width="9.5546875" style="26" bestFit="1" customWidth="1"/>
    <col min="15880" max="15880" width="10.6640625" style="26" customWidth="1"/>
    <col min="15881" max="16134" width="9.109375" style="26"/>
    <col min="16135" max="16135" width="9.5546875" style="26" bestFit="1" customWidth="1"/>
    <col min="16136" max="16136" width="10.6640625" style="26" customWidth="1"/>
    <col min="16137" max="16384" width="9.109375" style="26"/>
  </cols>
  <sheetData>
    <row r="1" spans="1:21" ht="13.8" thickBot="1" x14ac:dyDescent="0.3">
      <c r="A1" s="84" t="s">
        <v>286</v>
      </c>
      <c r="B1" s="275" t="s">
        <v>402</v>
      </c>
      <c r="C1" s="33">
        <f>Drives!BA26</f>
        <v>38490.017945975058</v>
      </c>
      <c r="D1" s="28" t="s">
        <v>7</v>
      </c>
      <c r="E1" s="300">
        <v>3</v>
      </c>
      <c r="F1" s="301">
        <f>MAX(0.1,E1+100/C1)</f>
        <v>3.0025980762113531</v>
      </c>
      <c r="G1" s="36" t="s">
        <v>1</v>
      </c>
      <c r="H1" s="81">
        <f>J17</f>
        <v>0</v>
      </c>
      <c r="I1" s="26" t="s">
        <v>94</v>
      </c>
      <c r="J1" s="34">
        <f>Drives!Z26</f>
        <v>0</v>
      </c>
      <c r="K1" s="26" t="s">
        <v>84</v>
      </c>
      <c r="N1" s="256">
        <v>0.999</v>
      </c>
      <c r="O1" s="82" t="s">
        <v>176</v>
      </c>
      <c r="P1" s="333" t="s">
        <v>566</v>
      </c>
      <c r="Q1" s="82"/>
      <c r="R1" s="82"/>
      <c r="S1" s="82"/>
      <c r="T1" s="82"/>
      <c r="U1" s="82"/>
    </row>
    <row r="2" spans="1:21" x14ac:dyDescent="0.25">
      <c r="A2" s="269" t="s">
        <v>88</v>
      </c>
      <c r="B2" s="276">
        <v>26</v>
      </c>
      <c r="D2" s="26">
        <f>C4+1</f>
        <v>5</v>
      </c>
      <c r="E2" s="41">
        <f>F1-C3</f>
        <v>2.5980762113531064E-3</v>
      </c>
      <c r="F2" s="36"/>
      <c r="G2" s="36"/>
      <c r="J2" s="29">
        <f>-0.2063*J1^2+0.0812*J1+1.1253-0.0002</f>
        <v>1.1251</v>
      </c>
      <c r="K2" s="26" t="s">
        <v>60</v>
      </c>
      <c r="N2" s="82"/>
      <c r="O2" s="82"/>
      <c r="P2" s="82"/>
      <c r="Q2" s="82"/>
      <c r="R2" s="83"/>
      <c r="S2" s="82"/>
      <c r="T2" s="82"/>
      <c r="U2" s="82"/>
    </row>
    <row r="3" spans="1:21" ht="13.8" thickBot="1" x14ac:dyDescent="0.3">
      <c r="A3" s="270" t="s">
        <v>365</v>
      </c>
      <c r="C3" s="41">
        <f>HLOOKUP($F$1,$D$62:$U$113,(B3+1))</f>
        <v>3</v>
      </c>
      <c r="D3" s="41">
        <f>HLOOKUP($D$2,$D$61:$U$113,(B3+2))</f>
        <v>4</v>
      </c>
      <c r="E3" s="26">
        <f>D3-C3</f>
        <v>1</v>
      </c>
      <c r="F3" s="26">
        <f>IF(E3=0,1,E2/E3)</f>
        <v>2.5980762113531064E-3</v>
      </c>
      <c r="G3" s="32">
        <f>C3+(E3*F3)</f>
        <v>3.0025980762113531</v>
      </c>
      <c r="J3" s="31"/>
      <c r="N3" s="82">
        <f>SQRT(1-N1^2)</f>
        <v>4.4710177812216013E-2</v>
      </c>
      <c r="O3" s="279" t="s">
        <v>565</v>
      </c>
      <c r="P3" s="279" t="s">
        <v>567</v>
      </c>
      <c r="Q3" s="82"/>
      <c r="R3" s="82"/>
      <c r="S3" s="82"/>
      <c r="T3" s="82"/>
      <c r="U3" s="82"/>
    </row>
    <row r="4" spans="1:21" ht="13.8" thickBot="1" x14ac:dyDescent="0.3">
      <c r="A4" s="31" t="s">
        <v>90</v>
      </c>
      <c r="B4" s="26">
        <v>1</v>
      </c>
      <c r="C4" s="302">
        <f t="shared" ref="C4:C53" si="0">HLOOKUP($F$1,$D$62:$U$113,(B4+1))</f>
        <v>4</v>
      </c>
      <c r="D4" s="302">
        <f t="shared" ref="D4:D53" si="1">HLOOKUP($D$2,$D$61:$U$113,(B4+2))</f>
        <v>5</v>
      </c>
      <c r="G4" s="27">
        <v>100</v>
      </c>
      <c r="H4" s="81">
        <f>J18</f>
        <v>0</v>
      </c>
      <c r="I4" s="26" t="s">
        <v>53</v>
      </c>
      <c r="J4" s="34">
        <f>Drives!X26</f>
        <v>0</v>
      </c>
      <c r="K4" s="54" t="s">
        <v>142</v>
      </c>
      <c r="N4" s="82"/>
      <c r="O4" s="82"/>
      <c r="P4" s="82"/>
      <c r="Q4" s="82"/>
      <c r="R4" s="82"/>
      <c r="S4" s="82"/>
      <c r="T4" s="82"/>
      <c r="U4" s="82"/>
    </row>
    <row r="5" spans="1:21" ht="13.8" thickBot="1" x14ac:dyDescent="0.3">
      <c r="A5" s="31"/>
      <c r="B5" s="26">
        <v>2</v>
      </c>
      <c r="C5" s="52">
        <f t="shared" si="0"/>
        <v>0.20033686709761994</v>
      </c>
      <c r="D5" s="52">
        <f t="shared" si="1"/>
        <v>0.20033686709761994</v>
      </c>
      <c r="E5" s="48">
        <f t="shared" ref="E5:E53" si="2">D5-C5</f>
        <v>0</v>
      </c>
      <c r="F5" s="48">
        <f t="shared" ref="F5:F53" si="3">E5*$F$3</f>
        <v>0</v>
      </c>
      <c r="G5" s="48">
        <f t="shared" ref="G5:G53" si="4">C5+F5</f>
        <v>0.20033686709761994</v>
      </c>
      <c r="H5" s="30">
        <f>J$2*G5*H$4/100</f>
        <v>0</v>
      </c>
      <c r="J5" s="49">
        <f>Drives!Y26</f>
        <v>0</v>
      </c>
      <c r="K5" s="54" t="s">
        <v>143</v>
      </c>
      <c r="N5" s="82"/>
      <c r="O5" s="82"/>
      <c r="P5" s="82"/>
      <c r="Q5" s="82"/>
      <c r="R5" s="82"/>
      <c r="S5" s="82"/>
      <c r="T5" s="82"/>
      <c r="U5" s="82"/>
    </row>
    <row r="6" spans="1:21" ht="13.8" thickBot="1" x14ac:dyDescent="0.3">
      <c r="A6" s="273" t="s">
        <v>573</v>
      </c>
      <c r="B6" s="26">
        <v>3</v>
      </c>
      <c r="C6" s="52">
        <f t="shared" si="0"/>
        <v>2.7531964720752457E-2</v>
      </c>
      <c r="D6" s="52">
        <f t="shared" si="1"/>
        <v>2.7531964720752457E-2</v>
      </c>
      <c r="E6" s="48">
        <f t="shared" si="2"/>
        <v>0</v>
      </c>
      <c r="F6" s="48">
        <f t="shared" si="3"/>
        <v>0</v>
      </c>
      <c r="G6" s="48">
        <f t="shared" si="4"/>
        <v>2.7531964720752457E-2</v>
      </c>
      <c r="H6" s="30">
        <f t="shared" ref="H6:H53" si="5">J$2*G6*H$4/100</f>
        <v>0</v>
      </c>
    </row>
    <row r="7" spans="1:21" ht="13.8" thickBot="1" x14ac:dyDescent="0.3">
      <c r="A7" s="270" t="s">
        <v>95</v>
      </c>
      <c r="B7" s="26">
        <v>4</v>
      </c>
      <c r="C7" s="52">
        <f t="shared" si="0"/>
        <v>0.18082566554563928</v>
      </c>
      <c r="D7" s="52">
        <f t="shared" si="1"/>
        <v>0.18082566554563928</v>
      </c>
      <c r="E7" s="48">
        <f t="shared" si="2"/>
        <v>0</v>
      </c>
      <c r="F7" s="48">
        <f t="shared" si="3"/>
        <v>0</v>
      </c>
      <c r="G7" s="48">
        <f t="shared" si="4"/>
        <v>0.18082566554563928</v>
      </c>
      <c r="H7" s="30">
        <f t="shared" si="5"/>
        <v>0</v>
      </c>
      <c r="J7" s="34">
        <f>Instructions!E201</f>
        <v>-40</v>
      </c>
      <c r="K7" s="54" t="s">
        <v>144</v>
      </c>
    </row>
    <row r="8" spans="1:21" x14ac:dyDescent="0.25">
      <c r="A8" s="54"/>
      <c r="B8" s="26">
        <v>5</v>
      </c>
      <c r="C8" s="52">
        <f t="shared" si="0"/>
        <v>3.2003454083827538</v>
      </c>
      <c r="D8" s="52">
        <f t="shared" si="1"/>
        <v>3.2003454083827538</v>
      </c>
      <c r="E8" s="48">
        <f t="shared" si="2"/>
        <v>0</v>
      </c>
      <c r="F8" s="48">
        <f t="shared" si="3"/>
        <v>0</v>
      </c>
      <c r="G8" s="48">
        <f t="shared" si="4"/>
        <v>3.2003454083827538</v>
      </c>
      <c r="H8" s="30">
        <f t="shared" si="5"/>
        <v>0</v>
      </c>
      <c r="J8" s="29">
        <f>J7*J4/100</f>
        <v>0</v>
      </c>
      <c r="K8" s="54" t="s">
        <v>409</v>
      </c>
    </row>
    <row r="9" spans="1:21" x14ac:dyDescent="0.25">
      <c r="A9" s="54"/>
      <c r="B9" s="26">
        <v>6</v>
      </c>
      <c r="C9" s="52">
        <f t="shared" si="0"/>
        <v>1.2366110803554393E-2</v>
      </c>
      <c r="D9" s="52">
        <f t="shared" si="1"/>
        <v>1.2366110803554393E-2</v>
      </c>
      <c r="E9" s="48">
        <f t="shared" si="2"/>
        <v>0</v>
      </c>
      <c r="F9" s="48">
        <f t="shared" si="3"/>
        <v>0</v>
      </c>
      <c r="G9" s="48">
        <f t="shared" si="4"/>
        <v>1.2366110803554393E-2</v>
      </c>
      <c r="H9" s="30">
        <f t="shared" si="5"/>
        <v>0</v>
      </c>
      <c r="J9" s="29"/>
    </row>
    <row r="10" spans="1:21" x14ac:dyDescent="0.25">
      <c r="B10" s="26">
        <v>7</v>
      </c>
      <c r="C10" s="52">
        <f t="shared" si="0"/>
        <v>2.2875599769738715</v>
      </c>
      <c r="D10" s="52">
        <f t="shared" si="1"/>
        <v>2.2875599769738715</v>
      </c>
      <c r="E10" s="48">
        <f t="shared" si="2"/>
        <v>0</v>
      </c>
      <c r="F10" s="48">
        <f t="shared" si="3"/>
        <v>0</v>
      </c>
      <c r="G10" s="48">
        <f t="shared" si="4"/>
        <v>2.2875599769738715</v>
      </c>
      <c r="H10" s="30">
        <f t="shared" si="5"/>
        <v>0</v>
      </c>
      <c r="J10" s="29">
        <f>J8</f>
        <v>0</v>
      </c>
      <c r="K10" s="54" t="s">
        <v>145</v>
      </c>
    </row>
    <row r="11" spans="1:21" ht="13.8" thickBot="1" x14ac:dyDescent="0.3">
      <c r="B11" s="26">
        <v>8</v>
      </c>
      <c r="C11" s="52">
        <f t="shared" si="0"/>
        <v>1.1961477080790374E-2</v>
      </c>
      <c r="D11" s="52">
        <f t="shared" si="1"/>
        <v>1.1961477080790374E-2</v>
      </c>
      <c r="E11" s="48">
        <f t="shared" si="2"/>
        <v>0</v>
      </c>
      <c r="F11" s="48">
        <f t="shared" si="3"/>
        <v>0</v>
      </c>
      <c r="G11" s="48">
        <f t="shared" si="4"/>
        <v>1.1961477080790374E-2</v>
      </c>
      <c r="H11" s="30">
        <f t="shared" si="5"/>
        <v>0</v>
      </c>
      <c r="J11" s="26">
        <f>N3*J10</f>
        <v>0</v>
      </c>
      <c r="K11" s="54" t="s">
        <v>146</v>
      </c>
    </row>
    <row r="12" spans="1:21" ht="13.8" thickBot="1" x14ac:dyDescent="0.3">
      <c r="B12" s="26">
        <v>9</v>
      </c>
      <c r="C12" s="52">
        <f t="shared" si="0"/>
        <v>5.8489653371463215E-3</v>
      </c>
      <c r="D12" s="52">
        <f t="shared" si="1"/>
        <v>5.8489653371463215E-3</v>
      </c>
      <c r="E12" s="48">
        <f t="shared" si="2"/>
        <v>0</v>
      </c>
      <c r="F12" s="48">
        <f t="shared" si="3"/>
        <v>0</v>
      </c>
      <c r="G12" s="48">
        <f t="shared" si="4"/>
        <v>5.8489653371463215E-3</v>
      </c>
      <c r="H12" s="30">
        <f t="shared" si="5"/>
        <v>0</v>
      </c>
      <c r="J12" s="256">
        <f>J10-J1*(J10-J11)</f>
        <v>0</v>
      </c>
      <c r="K12" s="54" t="s">
        <v>147</v>
      </c>
    </row>
    <row r="13" spans="1:21" ht="13.8" thickBot="1" x14ac:dyDescent="0.3">
      <c r="B13" s="26">
        <v>10</v>
      </c>
      <c r="C13" s="52">
        <f t="shared" si="0"/>
        <v>3.2931623370063305E-3</v>
      </c>
      <c r="D13" s="52">
        <f t="shared" si="1"/>
        <v>3.2931623370063305E-3</v>
      </c>
      <c r="E13" s="48">
        <f t="shared" si="2"/>
        <v>0</v>
      </c>
      <c r="F13" s="48">
        <f t="shared" si="3"/>
        <v>0</v>
      </c>
      <c r="G13" s="48">
        <f t="shared" si="4"/>
        <v>3.2931623370063305E-3</v>
      </c>
      <c r="H13" s="30">
        <f t="shared" si="5"/>
        <v>0</v>
      </c>
      <c r="J13" s="29"/>
    </row>
    <row r="14" spans="1:21" ht="13.8" thickBot="1" x14ac:dyDescent="0.3">
      <c r="B14" s="26">
        <v>11</v>
      </c>
      <c r="C14" s="52">
        <f t="shared" si="0"/>
        <v>2.1257751263238753</v>
      </c>
      <c r="D14" s="52">
        <f t="shared" si="1"/>
        <v>2.1257751263238753</v>
      </c>
      <c r="E14" s="48">
        <f t="shared" si="2"/>
        <v>0</v>
      </c>
      <c r="F14" s="48">
        <f t="shared" si="3"/>
        <v>0</v>
      </c>
      <c r="G14" s="48">
        <f t="shared" si="4"/>
        <v>2.1257751263238753</v>
      </c>
      <c r="H14" s="30">
        <f t="shared" si="5"/>
        <v>0</v>
      </c>
      <c r="J14" s="34">
        <f>Drives!AN26</f>
        <v>0</v>
      </c>
      <c r="K14" s="54" t="s">
        <v>150</v>
      </c>
    </row>
    <row r="15" spans="1:21" x14ac:dyDescent="0.25">
      <c r="B15" s="26">
        <v>12</v>
      </c>
      <c r="C15" s="52">
        <f t="shared" si="0"/>
        <v>2.0590858203411713E-3</v>
      </c>
      <c r="D15" s="52">
        <f t="shared" si="1"/>
        <v>2.0590858203411713E-3</v>
      </c>
      <c r="E15" s="48">
        <f t="shared" si="2"/>
        <v>0</v>
      </c>
      <c r="F15" s="48">
        <f t="shared" si="3"/>
        <v>0</v>
      </c>
      <c r="G15" s="48">
        <f t="shared" si="4"/>
        <v>2.0590858203411713E-3</v>
      </c>
      <c r="H15" s="30">
        <f t="shared" si="5"/>
        <v>0</v>
      </c>
      <c r="J15" s="29">
        <f>J1*J14</f>
        <v>0</v>
      </c>
      <c r="K15" s="54" t="s">
        <v>151</v>
      </c>
    </row>
    <row r="16" spans="1:21" x14ac:dyDescent="0.25">
      <c r="B16" s="26">
        <v>13</v>
      </c>
      <c r="C16" s="52">
        <f t="shared" si="0"/>
        <v>1.3699592359171386</v>
      </c>
      <c r="D16" s="52">
        <f t="shared" si="1"/>
        <v>1.3699592359171386</v>
      </c>
      <c r="E16" s="48">
        <f t="shared" si="2"/>
        <v>0</v>
      </c>
      <c r="F16" s="48">
        <f t="shared" si="3"/>
        <v>0</v>
      </c>
      <c r="G16" s="48">
        <f t="shared" si="4"/>
        <v>1.3699592359171386</v>
      </c>
      <c r="H16" s="30">
        <f t="shared" si="5"/>
        <v>0</v>
      </c>
    </row>
    <row r="17" spans="2:14" x14ac:dyDescent="0.25">
      <c r="B17" s="26">
        <v>14</v>
      </c>
      <c r="C17" s="52">
        <f t="shared" si="0"/>
        <v>7.302176673792982E-3</v>
      </c>
      <c r="D17" s="52">
        <f t="shared" si="1"/>
        <v>7.302176673792982E-3</v>
      </c>
      <c r="E17" s="48">
        <f t="shared" si="2"/>
        <v>0</v>
      </c>
      <c r="F17" s="48">
        <f t="shared" si="3"/>
        <v>0</v>
      </c>
      <c r="G17" s="48">
        <f t="shared" si="4"/>
        <v>7.302176673792982E-3</v>
      </c>
      <c r="H17" s="30">
        <f t="shared" si="5"/>
        <v>0</v>
      </c>
      <c r="J17" s="277">
        <f>SQRT(SUMSQ(J11,J14))</f>
        <v>0</v>
      </c>
      <c r="K17" s="54" t="s">
        <v>149</v>
      </c>
    </row>
    <row r="18" spans="2:14" x14ac:dyDescent="0.25">
      <c r="B18" s="26">
        <v>15</v>
      </c>
      <c r="C18" s="52">
        <f t="shared" si="0"/>
        <v>1.3606781607175098E-3</v>
      </c>
      <c r="D18" s="52">
        <f t="shared" si="1"/>
        <v>1.3606781607175098E-3</v>
      </c>
      <c r="E18" s="48">
        <f t="shared" si="2"/>
        <v>0</v>
      </c>
      <c r="F18" s="48">
        <f t="shared" si="3"/>
        <v>0</v>
      </c>
      <c r="G18" s="48">
        <f t="shared" si="4"/>
        <v>1.3606781607175098E-3</v>
      </c>
      <c r="H18" s="30">
        <f t="shared" si="5"/>
        <v>0</v>
      </c>
      <c r="J18" s="277">
        <f>SQRT(SUMSQ(J12,J15))</f>
        <v>0</v>
      </c>
      <c r="K18" s="54" t="s">
        <v>148</v>
      </c>
    </row>
    <row r="19" spans="2:14" x14ac:dyDescent="0.25">
      <c r="B19" s="26">
        <v>16</v>
      </c>
      <c r="C19" s="52">
        <f t="shared" si="0"/>
        <v>6.1109864607171924E-3</v>
      </c>
      <c r="D19" s="52">
        <f t="shared" si="1"/>
        <v>6.1109864607171924E-3</v>
      </c>
      <c r="E19" s="48">
        <f t="shared" si="2"/>
        <v>0</v>
      </c>
      <c r="F19" s="48">
        <f t="shared" si="3"/>
        <v>0</v>
      </c>
      <c r="G19" s="48">
        <f t="shared" si="4"/>
        <v>6.1109864607171924E-3</v>
      </c>
      <c r="H19" s="30">
        <f t="shared" si="5"/>
        <v>0</v>
      </c>
      <c r="N19" s="31"/>
    </row>
    <row r="20" spans="2:14" x14ac:dyDescent="0.25">
      <c r="B20" s="26">
        <v>17</v>
      </c>
      <c r="C20" s="52">
        <f t="shared" si="0"/>
        <v>0.68289719381734926</v>
      </c>
      <c r="D20" s="52">
        <f t="shared" si="1"/>
        <v>0.68289719381734926</v>
      </c>
      <c r="E20" s="48">
        <f t="shared" si="2"/>
        <v>0</v>
      </c>
      <c r="F20" s="48">
        <f t="shared" si="3"/>
        <v>0</v>
      </c>
      <c r="G20" s="48">
        <f t="shared" si="4"/>
        <v>0.68289719381734926</v>
      </c>
      <c r="H20" s="30">
        <f t="shared" si="5"/>
        <v>0</v>
      </c>
      <c r="J20" s="29">
        <f>H55</f>
        <v>0</v>
      </c>
      <c r="K20" s="54" t="s">
        <v>152</v>
      </c>
    </row>
    <row r="21" spans="2:14" x14ac:dyDescent="0.25">
      <c r="B21" s="26">
        <v>18</v>
      </c>
      <c r="C21" s="52">
        <f t="shared" si="0"/>
        <v>1.8234332460561734E-3</v>
      </c>
      <c r="D21" s="52">
        <f t="shared" si="1"/>
        <v>1.8234332460561734E-3</v>
      </c>
      <c r="E21" s="48">
        <f t="shared" si="2"/>
        <v>0</v>
      </c>
      <c r="F21" s="48">
        <f t="shared" si="3"/>
        <v>0</v>
      </c>
      <c r="G21" s="48">
        <f t="shared" si="4"/>
        <v>1.8234332460561734E-3</v>
      </c>
      <c r="H21" s="30">
        <f t="shared" si="5"/>
        <v>0</v>
      </c>
      <c r="J21" s="29"/>
    </row>
    <row r="22" spans="2:14" x14ac:dyDescent="0.25">
      <c r="B22" s="26">
        <v>19</v>
      </c>
      <c r="C22" s="52">
        <f t="shared" si="0"/>
        <v>0.64168647755318864</v>
      </c>
      <c r="D22" s="52">
        <f t="shared" si="1"/>
        <v>0.64168647755318864</v>
      </c>
      <c r="E22" s="48">
        <f t="shared" si="2"/>
        <v>0</v>
      </c>
      <c r="F22" s="48">
        <f t="shared" si="3"/>
        <v>0</v>
      </c>
      <c r="G22" s="48">
        <f t="shared" si="4"/>
        <v>0.64168647755318864</v>
      </c>
      <c r="H22" s="30">
        <f t="shared" si="5"/>
        <v>0</v>
      </c>
      <c r="J22" s="29">
        <f>H56</f>
        <v>0</v>
      </c>
      <c r="K22" s="54" t="s">
        <v>153</v>
      </c>
    </row>
    <row r="23" spans="2:14" x14ac:dyDescent="0.25">
      <c r="B23" s="26">
        <v>20</v>
      </c>
      <c r="C23" s="52">
        <f t="shared" si="0"/>
        <v>2.4051015216012576E-3</v>
      </c>
      <c r="D23" s="52">
        <f t="shared" si="1"/>
        <v>2.4051015216012576E-3</v>
      </c>
      <c r="E23" s="48">
        <f t="shared" si="2"/>
        <v>0</v>
      </c>
      <c r="F23" s="48">
        <f t="shared" si="3"/>
        <v>0</v>
      </c>
      <c r="G23" s="48">
        <f t="shared" si="4"/>
        <v>2.4051015216012576E-3</v>
      </c>
      <c r="H23" s="30">
        <f t="shared" si="5"/>
        <v>0</v>
      </c>
    </row>
    <row r="24" spans="2:14" x14ac:dyDescent="0.25">
      <c r="B24" s="26">
        <v>21</v>
      </c>
      <c r="C24" s="52">
        <f t="shared" si="0"/>
        <v>1.0813546337326231E-3</v>
      </c>
      <c r="D24" s="52">
        <f t="shared" si="1"/>
        <v>1.0813546337326231E-3</v>
      </c>
      <c r="E24" s="48">
        <f t="shared" si="2"/>
        <v>0</v>
      </c>
      <c r="F24" s="48">
        <f t="shared" si="3"/>
        <v>0</v>
      </c>
      <c r="G24" s="48">
        <f t="shared" si="4"/>
        <v>1.0813546337326231E-3</v>
      </c>
      <c r="H24" s="30">
        <f t="shared" si="5"/>
        <v>0</v>
      </c>
      <c r="J24" s="32">
        <f>IF(J18=0,0,100*J20/J18)</f>
        <v>0</v>
      </c>
      <c r="K24" s="54" t="s">
        <v>154</v>
      </c>
    </row>
    <row r="25" spans="2:14" x14ac:dyDescent="0.25">
      <c r="B25" s="26">
        <v>22</v>
      </c>
      <c r="C25" s="52">
        <f t="shared" si="0"/>
        <v>3.6564338251613847E-3</v>
      </c>
      <c r="D25" s="52">
        <f t="shared" si="1"/>
        <v>3.6564338251613847E-3</v>
      </c>
      <c r="E25" s="48">
        <f t="shared" si="2"/>
        <v>0</v>
      </c>
      <c r="F25" s="48">
        <f t="shared" si="3"/>
        <v>0</v>
      </c>
      <c r="G25" s="48">
        <f t="shared" si="4"/>
        <v>3.6564338251613847E-3</v>
      </c>
      <c r="H25" s="30">
        <f t="shared" si="5"/>
        <v>0</v>
      </c>
    </row>
    <row r="26" spans="2:14" x14ac:dyDescent="0.25">
      <c r="B26" s="26">
        <v>23</v>
      </c>
      <c r="C26" s="52">
        <f t="shared" si="0"/>
        <v>0.38309611199789012</v>
      </c>
      <c r="D26" s="52">
        <f t="shared" si="1"/>
        <v>0.38309611199789012</v>
      </c>
      <c r="E26" s="48">
        <f t="shared" si="2"/>
        <v>0</v>
      </c>
      <c r="F26" s="48">
        <f t="shared" si="3"/>
        <v>0</v>
      </c>
      <c r="G26" s="48">
        <f t="shared" si="4"/>
        <v>0.38309611199789012</v>
      </c>
      <c r="H26" s="30">
        <f t="shared" si="5"/>
        <v>0</v>
      </c>
    </row>
    <row r="27" spans="2:14" x14ac:dyDescent="0.25">
      <c r="B27" s="26">
        <v>24</v>
      </c>
      <c r="C27" s="52">
        <f t="shared" si="0"/>
        <v>5.1576679443848686E-4</v>
      </c>
      <c r="D27" s="52">
        <f t="shared" si="1"/>
        <v>5.1576679443848686E-4</v>
      </c>
      <c r="E27" s="48">
        <f t="shared" si="2"/>
        <v>0</v>
      </c>
      <c r="F27" s="48">
        <f t="shared" si="3"/>
        <v>0</v>
      </c>
      <c r="G27" s="48">
        <f t="shared" si="4"/>
        <v>5.1576679443848686E-4</v>
      </c>
      <c r="H27" s="30">
        <f t="shared" si="5"/>
        <v>0</v>
      </c>
    </row>
    <row r="28" spans="2:14" x14ac:dyDescent="0.25">
      <c r="B28" s="26">
        <v>25</v>
      </c>
      <c r="C28" s="52">
        <f t="shared" si="0"/>
        <v>0.30758054936548701</v>
      </c>
      <c r="D28" s="52">
        <f t="shared" si="1"/>
        <v>0.30758054936548701</v>
      </c>
      <c r="E28" s="48">
        <f t="shared" si="2"/>
        <v>0</v>
      </c>
      <c r="F28" s="48">
        <f t="shared" si="3"/>
        <v>0</v>
      </c>
      <c r="G28" s="48">
        <f t="shared" si="4"/>
        <v>0.30758054936548701</v>
      </c>
      <c r="H28" s="30">
        <f t="shared" si="5"/>
        <v>0</v>
      </c>
    </row>
    <row r="29" spans="2:14" x14ac:dyDescent="0.25">
      <c r="B29" s="26">
        <v>26</v>
      </c>
      <c r="C29" s="52">
        <f t="shared" si="0"/>
        <v>2.6425848475545442E-3</v>
      </c>
      <c r="D29" s="52">
        <f t="shared" si="1"/>
        <v>2.6425848475545442E-3</v>
      </c>
      <c r="E29" s="48">
        <f t="shared" si="2"/>
        <v>0</v>
      </c>
      <c r="F29" s="48">
        <f t="shared" si="3"/>
        <v>0</v>
      </c>
      <c r="G29" s="48">
        <f t="shared" si="4"/>
        <v>2.6425848475545442E-3</v>
      </c>
      <c r="H29" s="30">
        <f t="shared" si="5"/>
        <v>0</v>
      </c>
    </row>
    <row r="30" spans="2:14" x14ac:dyDescent="0.25">
      <c r="B30" s="26">
        <v>27</v>
      </c>
      <c r="C30" s="52">
        <f t="shared" si="0"/>
        <v>1.0147084130348648E-3</v>
      </c>
      <c r="D30" s="52">
        <f t="shared" si="1"/>
        <v>1.0147084130348648E-3</v>
      </c>
      <c r="E30" s="48">
        <f t="shared" si="2"/>
        <v>0</v>
      </c>
      <c r="F30" s="48">
        <f t="shared" si="3"/>
        <v>0</v>
      </c>
      <c r="G30" s="48">
        <f t="shared" si="4"/>
        <v>1.0147084130348648E-3</v>
      </c>
      <c r="H30" s="30">
        <f t="shared" si="5"/>
        <v>0</v>
      </c>
    </row>
    <row r="31" spans="2:14" x14ac:dyDescent="0.25">
      <c r="B31" s="26">
        <v>28</v>
      </c>
      <c r="C31" s="52">
        <f t="shared" si="0"/>
        <v>1.6177333578561359E-3</v>
      </c>
      <c r="D31" s="52">
        <f t="shared" si="1"/>
        <v>1.6177333578561359E-3</v>
      </c>
      <c r="E31" s="48">
        <f t="shared" si="2"/>
        <v>0</v>
      </c>
      <c r="F31" s="48">
        <f t="shared" si="3"/>
        <v>0</v>
      </c>
      <c r="G31" s="48">
        <f t="shared" si="4"/>
        <v>1.6177333578561359E-3</v>
      </c>
      <c r="H31" s="30">
        <f t="shared" si="5"/>
        <v>0</v>
      </c>
    </row>
    <row r="32" spans="2:14" x14ac:dyDescent="0.25">
      <c r="B32" s="26">
        <v>29</v>
      </c>
      <c r="C32" s="52">
        <f t="shared" si="0"/>
        <v>0.27743194677703786</v>
      </c>
      <c r="D32" s="52">
        <f t="shared" si="1"/>
        <v>0.27743194677703786</v>
      </c>
      <c r="E32" s="48">
        <f t="shared" si="2"/>
        <v>0</v>
      </c>
      <c r="F32" s="48">
        <f t="shared" si="3"/>
        <v>0</v>
      </c>
      <c r="G32" s="48">
        <f t="shared" si="4"/>
        <v>0.27743194677703786</v>
      </c>
      <c r="H32" s="30">
        <f t="shared" si="5"/>
        <v>0</v>
      </c>
    </row>
    <row r="33" spans="2:8" x14ac:dyDescent="0.25">
      <c r="B33" s="26">
        <v>30</v>
      </c>
      <c r="C33" s="52">
        <f t="shared" si="0"/>
        <v>8.0198290803030971E-4</v>
      </c>
      <c r="D33" s="52">
        <f t="shared" si="1"/>
        <v>8.0198290803030971E-4</v>
      </c>
      <c r="E33" s="48">
        <f t="shared" si="2"/>
        <v>0</v>
      </c>
      <c r="F33" s="48">
        <f t="shared" si="3"/>
        <v>0</v>
      </c>
      <c r="G33" s="48">
        <f t="shared" si="4"/>
        <v>8.0198290803030971E-4</v>
      </c>
      <c r="H33" s="30">
        <f t="shared" si="5"/>
        <v>0</v>
      </c>
    </row>
    <row r="34" spans="2:8" x14ac:dyDescent="0.25">
      <c r="B34" s="26">
        <v>31</v>
      </c>
      <c r="C34" s="52">
        <f t="shared" si="0"/>
        <v>0.22825369583389868</v>
      </c>
      <c r="D34" s="52">
        <f t="shared" si="1"/>
        <v>0.22825369583389868</v>
      </c>
      <c r="E34" s="48">
        <f t="shared" si="2"/>
        <v>0</v>
      </c>
      <c r="F34" s="48">
        <f t="shared" si="3"/>
        <v>0</v>
      </c>
      <c r="G34" s="48">
        <f t="shared" si="4"/>
        <v>0.22825369583389868</v>
      </c>
      <c r="H34" s="30">
        <f t="shared" si="5"/>
        <v>0</v>
      </c>
    </row>
    <row r="35" spans="2:8" x14ac:dyDescent="0.25">
      <c r="B35" s="26">
        <v>32</v>
      </c>
      <c r="C35" s="52">
        <f t="shared" si="0"/>
        <v>2.7024021170569765E-3</v>
      </c>
      <c r="D35" s="52">
        <f t="shared" si="1"/>
        <v>2.7024021170569765E-3</v>
      </c>
      <c r="E35" s="48">
        <f t="shared" si="2"/>
        <v>0</v>
      </c>
      <c r="F35" s="48">
        <f t="shared" si="3"/>
        <v>0</v>
      </c>
      <c r="G35" s="48">
        <f t="shared" si="4"/>
        <v>2.7024021170569765E-3</v>
      </c>
      <c r="H35" s="30">
        <f t="shared" si="5"/>
        <v>0</v>
      </c>
    </row>
    <row r="36" spans="2:8" x14ac:dyDescent="0.25">
      <c r="B36" s="26">
        <v>33</v>
      </c>
      <c r="C36" s="52">
        <f t="shared" si="0"/>
        <v>2.381632533647384E-4</v>
      </c>
      <c r="D36" s="52">
        <f t="shared" si="1"/>
        <v>2.381632533647384E-4</v>
      </c>
      <c r="E36" s="48">
        <f t="shared" si="2"/>
        <v>0</v>
      </c>
      <c r="F36" s="48">
        <f t="shared" si="3"/>
        <v>0</v>
      </c>
      <c r="G36" s="48">
        <f t="shared" si="4"/>
        <v>2.381632533647384E-4</v>
      </c>
      <c r="H36" s="30">
        <f t="shared" si="5"/>
        <v>0</v>
      </c>
    </row>
    <row r="37" spans="2:8" x14ac:dyDescent="0.25">
      <c r="B37" s="26">
        <v>34</v>
      </c>
      <c r="C37" s="52">
        <f t="shared" si="0"/>
        <v>2.6710242731562829E-3</v>
      </c>
      <c r="D37" s="52">
        <f t="shared" si="1"/>
        <v>2.6710242731562829E-3</v>
      </c>
      <c r="E37" s="48">
        <f t="shared" si="2"/>
        <v>0</v>
      </c>
      <c r="F37" s="48">
        <f t="shared" si="3"/>
        <v>0</v>
      </c>
      <c r="G37" s="48">
        <f t="shared" si="4"/>
        <v>2.6710242731562829E-3</v>
      </c>
      <c r="H37" s="30">
        <f t="shared" si="5"/>
        <v>0</v>
      </c>
    </row>
    <row r="38" spans="2:8" x14ac:dyDescent="0.25">
      <c r="B38" s="26">
        <v>35</v>
      </c>
      <c r="C38" s="52">
        <f t="shared" si="0"/>
        <v>0.17116141541912225</v>
      </c>
      <c r="D38" s="52">
        <f t="shared" si="1"/>
        <v>0.17116141541912225</v>
      </c>
      <c r="E38" s="48">
        <f t="shared" si="2"/>
        <v>0</v>
      </c>
      <c r="F38" s="48">
        <f t="shared" si="3"/>
        <v>0</v>
      </c>
      <c r="G38" s="48">
        <f t="shared" si="4"/>
        <v>0.17116141541912225</v>
      </c>
      <c r="H38" s="30">
        <f t="shared" si="5"/>
        <v>0</v>
      </c>
    </row>
    <row r="39" spans="2:8" x14ac:dyDescent="0.25">
      <c r="B39" s="26">
        <v>36</v>
      </c>
      <c r="C39" s="52">
        <f t="shared" si="0"/>
        <v>6.1075146914959676E-4</v>
      </c>
      <c r="D39" s="52">
        <f t="shared" si="1"/>
        <v>6.1075146914959676E-4</v>
      </c>
      <c r="E39" s="48">
        <f t="shared" si="2"/>
        <v>0</v>
      </c>
      <c r="F39" s="48">
        <f t="shared" si="3"/>
        <v>0</v>
      </c>
      <c r="G39" s="48">
        <f t="shared" si="4"/>
        <v>6.1075146914959676E-4</v>
      </c>
      <c r="H39" s="30">
        <f t="shared" si="5"/>
        <v>0</v>
      </c>
    </row>
    <row r="40" spans="2:8" x14ac:dyDescent="0.25">
      <c r="B40" s="26">
        <v>37</v>
      </c>
      <c r="C40" s="52">
        <f t="shared" si="0"/>
        <v>0.16480407262564611</v>
      </c>
      <c r="D40" s="52">
        <f t="shared" si="1"/>
        <v>0.16480407262564611</v>
      </c>
      <c r="E40" s="48">
        <f t="shared" si="2"/>
        <v>0</v>
      </c>
      <c r="F40" s="48">
        <f t="shared" si="3"/>
        <v>0</v>
      </c>
      <c r="G40" s="48">
        <f t="shared" si="4"/>
        <v>0.16480407262564611</v>
      </c>
      <c r="H40" s="30">
        <f t="shared" si="5"/>
        <v>0</v>
      </c>
    </row>
    <row r="41" spans="2:8" x14ac:dyDescent="0.25">
      <c r="B41" s="26">
        <v>38</v>
      </c>
      <c r="C41" s="52">
        <f t="shared" si="0"/>
        <v>1.1328435066673029E-3</v>
      </c>
      <c r="D41" s="52">
        <f t="shared" si="1"/>
        <v>1.1328435066673029E-3</v>
      </c>
      <c r="E41" s="48">
        <f t="shared" si="2"/>
        <v>0</v>
      </c>
      <c r="F41" s="48">
        <f t="shared" si="3"/>
        <v>0</v>
      </c>
      <c r="G41" s="48">
        <f t="shared" si="4"/>
        <v>1.1328435066673029E-3</v>
      </c>
      <c r="H41" s="30">
        <f t="shared" si="5"/>
        <v>0</v>
      </c>
    </row>
    <row r="42" spans="2:8" x14ac:dyDescent="0.25">
      <c r="B42" s="26">
        <v>39</v>
      </c>
      <c r="C42" s="52">
        <f t="shared" si="0"/>
        <v>6.4298975068577445E-4</v>
      </c>
      <c r="D42" s="52">
        <f t="shared" si="1"/>
        <v>6.4298975068577445E-4</v>
      </c>
      <c r="E42" s="48">
        <f t="shared" si="2"/>
        <v>0</v>
      </c>
      <c r="F42" s="48">
        <f t="shared" si="3"/>
        <v>0</v>
      </c>
      <c r="G42" s="48">
        <f t="shared" si="4"/>
        <v>6.4298975068577445E-4</v>
      </c>
      <c r="H42" s="30">
        <f t="shared" si="5"/>
        <v>0</v>
      </c>
    </row>
    <row r="43" spans="2:8" x14ac:dyDescent="0.25">
      <c r="B43" s="26">
        <v>40</v>
      </c>
      <c r="C43" s="52">
        <f t="shared" si="0"/>
        <v>1.5301192674068069E-3</v>
      </c>
      <c r="D43" s="52">
        <f t="shared" si="1"/>
        <v>1.5301192674068069E-3</v>
      </c>
      <c r="E43" s="48">
        <f t="shared" si="2"/>
        <v>0</v>
      </c>
      <c r="F43" s="48">
        <f t="shared" si="3"/>
        <v>0</v>
      </c>
      <c r="G43" s="48">
        <f t="shared" si="4"/>
        <v>1.5301192674068069E-3</v>
      </c>
      <c r="H43" s="30">
        <f t="shared" si="5"/>
        <v>0</v>
      </c>
    </row>
    <row r="44" spans="2:8" x14ac:dyDescent="0.25">
      <c r="B44" s="26">
        <v>41</v>
      </c>
      <c r="C44" s="52">
        <f t="shared" si="0"/>
        <v>0.12283011946712022</v>
      </c>
      <c r="D44" s="52">
        <f t="shared" si="1"/>
        <v>0.12283011946712022</v>
      </c>
      <c r="E44" s="48">
        <f t="shared" si="2"/>
        <v>0</v>
      </c>
      <c r="F44" s="48">
        <f t="shared" si="3"/>
        <v>0</v>
      </c>
      <c r="G44" s="48">
        <f t="shared" si="4"/>
        <v>0.12283011946712022</v>
      </c>
      <c r="H44" s="30">
        <f t="shared" si="5"/>
        <v>0</v>
      </c>
    </row>
    <row r="45" spans="2:8" x14ac:dyDescent="0.25">
      <c r="B45" s="26">
        <v>42</v>
      </c>
      <c r="C45" s="52">
        <f t="shared" si="0"/>
        <v>2.3322769575310185E-4</v>
      </c>
      <c r="D45" s="52">
        <f t="shared" si="1"/>
        <v>2.3322769575310185E-4</v>
      </c>
      <c r="E45" s="48">
        <f t="shared" si="2"/>
        <v>0</v>
      </c>
      <c r="F45" s="48">
        <f t="shared" si="3"/>
        <v>0</v>
      </c>
      <c r="G45" s="48">
        <f t="shared" si="4"/>
        <v>2.3322769575310185E-4</v>
      </c>
      <c r="H45" s="30">
        <f t="shared" si="5"/>
        <v>0</v>
      </c>
    </row>
    <row r="46" spans="2:8" x14ac:dyDescent="0.25">
      <c r="B46" s="26">
        <v>43</v>
      </c>
      <c r="C46" s="52">
        <f t="shared" si="0"/>
        <v>0.10926131889927025</v>
      </c>
      <c r="D46" s="52">
        <f t="shared" si="1"/>
        <v>0.10926131889927025</v>
      </c>
      <c r="E46" s="48">
        <f t="shared" si="2"/>
        <v>0</v>
      </c>
      <c r="F46" s="48">
        <f t="shared" si="3"/>
        <v>0</v>
      </c>
      <c r="G46" s="48">
        <f t="shared" si="4"/>
        <v>0.10926131889927025</v>
      </c>
      <c r="H46" s="30">
        <f t="shared" si="5"/>
        <v>0</v>
      </c>
    </row>
    <row r="47" spans="2:8" x14ac:dyDescent="0.25">
      <c r="B47" s="26">
        <v>44</v>
      </c>
      <c r="C47" s="52">
        <f t="shared" si="0"/>
        <v>1.7967060979898527E-3</v>
      </c>
      <c r="D47" s="52">
        <f t="shared" si="1"/>
        <v>1.7967060979898527E-3</v>
      </c>
      <c r="E47" s="48">
        <f t="shared" si="2"/>
        <v>0</v>
      </c>
      <c r="F47" s="48">
        <f t="shared" si="3"/>
        <v>0</v>
      </c>
      <c r="G47" s="48">
        <f t="shared" si="4"/>
        <v>1.7967060979898527E-3</v>
      </c>
      <c r="H47" s="30">
        <f t="shared" si="5"/>
        <v>0</v>
      </c>
    </row>
    <row r="48" spans="2:8" x14ac:dyDescent="0.25">
      <c r="B48" s="26">
        <v>45</v>
      </c>
      <c r="C48" s="52">
        <f t="shared" si="0"/>
        <v>3.4212349123829218E-4</v>
      </c>
      <c r="D48" s="52">
        <f t="shared" si="1"/>
        <v>3.4212349123829218E-4</v>
      </c>
      <c r="E48" s="48">
        <f t="shared" si="2"/>
        <v>0</v>
      </c>
      <c r="F48" s="48">
        <f t="shared" si="3"/>
        <v>0</v>
      </c>
      <c r="G48" s="48">
        <f t="shared" si="4"/>
        <v>3.4212349123829218E-4</v>
      </c>
      <c r="H48" s="30">
        <f t="shared" si="5"/>
        <v>0</v>
      </c>
    </row>
    <row r="49" spans="1:21" x14ac:dyDescent="0.25">
      <c r="B49" s="26">
        <v>46</v>
      </c>
      <c r="C49" s="52">
        <f t="shared" si="0"/>
        <v>1.3725028438080829E-3</v>
      </c>
      <c r="D49" s="52">
        <f t="shared" si="1"/>
        <v>1.3725028438080829E-3</v>
      </c>
      <c r="E49" s="48">
        <f t="shared" si="2"/>
        <v>0</v>
      </c>
      <c r="F49" s="48">
        <f t="shared" si="3"/>
        <v>0</v>
      </c>
      <c r="G49" s="48">
        <f t="shared" si="4"/>
        <v>1.3725028438080829E-3</v>
      </c>
      <c r="H49" s="30">
        <f t="shared" si="5"/>
        <v>0</v>
      </c>
    </row>
    <row r="50" spans="1:21" x14ac:dyDescent="0.25">
      <c r="B50" s="26">
        <v>47</v>
      </c>
      <c r="C50" s="52">
        <f t="shared" si="0"/>
        <v>0.10286392984144729</v>
      </c>
      <c r="D50" s="52">
        <f t="shared" si="1"/>
        <v>0.10286392984144729</v>
      </c>
      <c r="E50" s="48">
        <f t="shared" si="2"/>
        <v>0</v>
      </c>
      <c r="F50" s="48">
        <f t="shared" si="3"/>
        <v>0</v>
      </c>
      <c r="G50" s="48">
        <f t="shared" si="4"/>
        <v>0.10286392984144729</v>
      </c>
      <c r="H50" s="30">
        <f t="shared" si="5"/>
        <v>0</v>
      </c>
    </row>
    <row r="51" spans="1:21" x14ac:dyDescent="0.25">
      <c r="B51" s="26">
        <v>48</v>
      </c>
      <c r="C51" s="52">
        <f t="shared" si="0"/>
        <v>4.8839598246448116E-4</v>
      </c>
      <c r="D51" s="52">
        <f t="shared" si="1"/>
        <v>4.8839598246448116E-4</v>
      </c>
      <c r="E51" s="48">
        <f t="shared" si="2"/>
        <v>0</v>
      </c>
      <c r="F51" s="48">
        <f t="shared" si="3"/>
        <v>0</v>
      </c>
      <c r="G51" s="48">
        <f t="shared" si="4"/>
        <v>4.8839598246448116E-4</v>
      </c>
      <c r="H51" s="30">
        <f t="shared" si="5"/>
        <v>0</v>
      </c>
    </row>
    <row r="52" spans="1:21" x14ac:dyDescent="0.25">
      <c r="B52" s="26">
        <v>49</v>
      </c>
      <c r="C52" s="52">
        <f t="shared" si="0"/>
        <v>8.9994584917830328E-2</v>
      </c>
      <c r="D52" s="52">
        <f t="shared" si="1"/>
        <v>8.9994584917830328E-2</v>
      </c>
      <c r="E52" s="48">
        <f t="shared" si="2"/>
        <v>0</v>
      </c>
      <c r="F52" s="48">
        <f t="shared" si="3"/>
        <v>0</v>
      </c>
      <c r="G52" s="48">
        <f t="shared" si="4"/>
        <v>8.9994584917830328E-2</v>
      </c>
      <c r="H52" s="30">
        <f t="shared" si="5"/>
        <v>0</v>
      </c>
    </row>
    <row r="53" spans="1:21" x14ac:dyDescent="0.25">
      <c r="B53" s="26">
        <v>50</v>
      </c>
      <c r="C53" s="52">
        <f t="shared" si="0"/>
        <v>1.3723161044338777E-3</v>
      </c>
      <c r="D53" s="52">
        <f t="shared" si="1"/>
        <v>1.3723161044338777E-3</v>
      </c>
      <c r="E53" s="48">
        <f t="shared" si="2"/>
        <v>0</v>
      </c>
      <c r="F53" s="48">
        <f t="shared" si="3"/>
        <v>0</v>
      </c>
      <c r="G53" s="48">
        <f t="shared" si="4"/>
        <v>1.3723161044338777E-3</v>
      </c>
      <c r="H53" s="30">
        <f t="shared" si="5"/>
        <v>0</v>
      </c>
    </row>
    <row r="54" spans="1:21" x14ac:dyDescent="0.25">
      <c r="C54" s="41"/>
      <c r="D54" s="41"/>
    </row>
    <row r="55" spans="1:21" x14ac:dyDescent="0.25">
      <c r="F55" s="26" t="s">
        <v>85</v>
      </c>
      <c r="G55" s="29">
        <f>SQRT(SUMSQ(G5:G53))</f>
        <v>4.826556572585889</v>
      </c>
      <c r="H55" s="29">
        <f>SQRT(SUMSQ(H5:H53))</f>
        <v>0</v>
      </c>
      <c r="I55" s="26" t="s">
        <v>52</v>
      </c>
    </row>
    <row r="56" spans="1:21" x14ac:dyDescent="0.25">
      <c r="F56" s="26" t="s">
        <v>86</v>
      </c>
      <c r="G56" s="29">
        <f>SQRT(SUMSQ(G4:G53))</f>
        <v>100.11641048473712</v>
      </c>
      <c r="H56" s="29">
        <f>SQRT(SUMSQ(H4:H53))</f>
        <v>0</v>
      </c>
      <c r="I56" s="26" t="s">
        <v>54</v>
      </c>
    </row>
    <row r="57" spans="1:21" x14ac:dyDescent="0.25">
      <c r="G57" s="26" t="s">
        <v>87</v>
      </c>
      <c r="H57" s="26" t="s">
        <v>13</v>
      </c>
    </row>
    <row r="59" spans="1:21" ht="14.4" x14ac:dyDescent="0.3">
      <c r="A59" s="25" t="s">
        <v>63</v>
      </c>
      <c r="C59"/>
      <c r="D59"/>
      <c r="E59"/>
      <c r="F59"/>
      <c r="G59"/>
      <c r="H59"/>
      <c r="I59"/>
      <c r="J59"/>
      <c r="K59"/>
      <c r="L59"/>
      <c r="M59"/>
      <c r="N59"/>
      <c r="O59"/>
      <c r="P59"/>
      <c r="Q59"/>
      <c r="R59"/>
      <c r="S59"/>
      <c r="T59"/>
      <c r="U59"/>
    </row>
    <row r="60" spans="1:21" ht="14.4" x14ac:dyDescent="0.3">
      <c r="C60" s="1" t="s">
        <v>478</v>
      </c>
      <c r="D60" s="7">
        <f>100/D62</f>
        <v>1000</v>
      </c>
      <c r="E60" s="7">
        <f t="shared" ref="E60:U60" si="6">100/E62</f>
        <v>200</v>
      </c>
      <c r="F60" s="7">
        <f t="shared" si="6"/>
        <v>100</v>
      </c>
      <c r="G60" s="7">
        <f t="shared" si="6"/>
        <v>50</v>
      </c>
      <c r="H60" s="7">
        <f t="shared" si="6"/>
        <v>33.333333333333336</v>
      </c>
      <c r="I60" s="7">
        <f t="shared" si="6"/>
        <v>25</v>
      </c>
      <c r="J60" s="7">
        <f t="shared" si="6"/>
        <v>20</v>
      </c>
      <c r="K60" s="7">
        <f t="shared" si="6"/>
        <v>16.666666666666668</v>
      </c>
      <c r="L60" s="7">
        <f t="shared" si="6"/>
        <v>14.285714285714286</v>
      </c>
      <c r="M60" s="7">
        <f t="shared" si="6"/>
        <v>12.5</v>
      </c>
      <c r="N60" s="7">
        <f t="shared" si="6"/>
        <v>10</v>
      </c>
      <c r="O60" s="7">
        <f t="shared" si="6"/>
        <v>8.3333333333333339</v>
      </c>
      <c r="P60" s="7">
        <f t="shared" si="6"/>
        <v>7.1428571428571432</v>
      </c>
      <c r="Q60" s="7">
        <f t="shared" si="6"/>
        <v>5.5555555555555554</v>
      </c>
      <c r="R60" s="7">
        <f t="shared" si="6"/>
        <v>4.7619047619047619</v>
      </c>
      <c r="S60" s="7">
        <f t="shared" si="6"/>
        <v>1</v>
      </c>
      <c r="T60" s="7">
        <f t="shared" si="6"/>
        <v>0.1</v>
      </c>
      <c r="U60" s="7">
        <f t="shared" si="6"/>
        <v>0.01</v>
      </c>
    </row>
    <row r="61" spans="1:21" ht="14.4" x14ac:dyDescent="0.3">
      <c r="C61" s="1" t="s">
        <v>64</v>
      </c>
      <c r="D61">
        <v>0</v>
      </c>
      <c r="E61">
        <v>1</v>
      </c>
      <c r="F61">
        <v>2</v>
      </c>
      <c r="G61">
        <v>3</v>
      </c>
      <c r="H61">
        <v>4</v>
      </c>
      <c r="I61">
        <v>5</v>
      </c>
      <c r="J61">
        <v>6</v>
      </c>
      <c r="K61">
        <v>7</v>
      </c>
      <c r="L61">
        <v>8</v>
      </c>
      <c r="M61">
        <v>9</v>
      </c>
      <c r="N61">
        <v>10</v>
      </c>
      <c r="O61">
        <v>11</v>
      </c>
      <c r="P61">
        <v>12</v>
      </c>
      <c r="Q61">
        <v>13</v>
      </c>
      <c r="R61">
        <v>14</v>
      </c>
      <c r="S61">
        <v>15</v>
      </c>
      <c r="T61">
        <v>16</v>
      </c>
      <c r="U61">
        <v>17</v>
      </c>
    </row>
    <row r="62" spans="1:21" ht="14.4" x14ac:dyDescent="0.3">
      <c r="A62" s="26" t="s">
        <v>65</v>
      </c>
      <c r="B62" s="54"/>
      <c r="C62" s="216" t="s">
        <v>1</v>
      </c>
      <c r="D62" s="296">
        <v>0.1</v>
      </c>
      <c r="E62" s="296">
        <v>0.5</v>
      </c>
      <c r="F62" s="296">
        <v>1</v>
      </c>
      <c r="G62" s="296">
        <v>2</v>
      </c>
      <c r="H62" s="296">
        <v>3</v>
      </c>
      <c r="I62" s="296">
        <v>4</v>
      </c>
      <c r="J62" s="296">
        <v>5</v>
      </c>
      <c r="K62" s="296">
        <v>6</v>
      </c>
      <c r="L62" s="296">
        <v>7</v>
      </c>
      <c r="M62" s="296">
        <v>8</v>
      </c>
      <c r="N62" s="296">
        <v>10</v>
      </c>
      <c r="O62" s="296">
        <v>12</v>
      </c>
      <c r="P62" s="296">
        <v>14</v>
      </c>
      <c r="Q62" s="296">
        <v>18</v>
      </c>
      <c r="R62" s="296">
        <v>21</v>
      </c>
      <c r="S62" s="296">
        <v>100</v>
      </c>
      <c r="T62" s="296">
        <v>1000</v>
      </c>
      <c r="U62" s="296">
        <v>10000</v>
      </c>
    </row>
    <row r="63" spans="1:21" ht="14.4" x14ac:dyDescent="0.3">
      <c r="A63" s="31"/>
      <c r="C63" s="1" t="s">
        <v>64</v>
      </c>
      <c r="D63">
        <v>0</v>
      </c>
      <c r="E63">
        <v>1</v>
      </c>
      <c r="F63">
        <v>2</v>
      </c>
      <c r="G63">
        <v>3</v>
      </c>
      <c r="H63">
        <v>4</v>
      </c>
      <c r="I63">
        <v>5</v>
      </c>
      <c r="J63">
        <v>6</v>
      </c>
      <c r="K63">
        <v>7</v>
      </c>
      <c r="L63">
        <v>8</v>
      </c>
      <c r="M63">
        <v>9</v>
      </c>
      <c r="N63">
        <v>10</v>
      </c>
      <c r="O63">
        <v>11</v>
      </c>
      <c r="P63">
        <v>12</v>
      </c>
      <c r="Q63">
        <v>13</v>
      </c>
      <c r="R63">
        <v>14</v>
      </c>
      <c r="S63">
        <v>15</v>
      </c>
      <c r="T63">
        <v>16</v>
      </c>
      <c r="U63">
        <v>17</v>
      </c>
    </row>
    <row r="64" spans="1:21" ht="14.4" x14ac:dyDescent="0.3">
      <c r="A64" s="43">
        <v>2</v>
      </c>
      <c r="B64" s="43"/>
      <c r="C64" s="1"/>
      <c r="D64" s="318">
        <v>0.20697328505530507</v>
      </c>
      <c r="E64" s="318">
        <v>0.20518974772917717</v>
      </c>
      <c r="F64" s="318">
        <v>0.20336473279081374</v>
      </c>
      <c r="G64" s="318">
        <v>0.20158119546468589</v>
      </c>
      <c r="H64" s="318">
        <v>0.20033686709761994</v>
      </c>
      <c r="I64" s="318">
        <v>0.20033686709761994</v>
      </c>
      <c r="J64" s="318">
        <v>0.20033686709761994</v>
      </c>
      <c r="K64" s="318">
        <v>0.20033686709761994</v>
      </c>
      <c r="L64" s="318">
        <v>0.20033686709761994</v>
      </c>
      <c r="M64" s="318">
        <v>0.20033686709761994</v>
      </c>
      <c r="N64" s="318">
        <v>0.20033686709761994</v>
      </c>
      <c r="O64" s="318">
        <v>0.20033686709761994</v>
      </c>
      <c r="P64" s="318">
        <v>0.20033686709761994</v>
      </c>
      <c r="Q64" s="318">
        <v>0.20033686709761994</v>
      </c>
      <c r="R64" s="318">
        <v>0.20033686709761994</v>
      </c>
      <c r="S64" s="318">
        <v>0.20033686709761994</v>
      </c>
      <c r="T64" s="318">
        <v>0.20033686709761994</v>
      </c>
      <c r="U64" s="318">
        <v>0.20033686709761994</v>
      </c>
    </row>
    <row r="65" spans="1:21" ht="14.4" x14ac:dyDescent="0.3">
      <c r="A65" s="43">
        <v>3</v>
      </c>
      <c r="B65" s="43"/>
      <c r="C65" s="1"/>
      <c r="D65" s="318">
        <v>2.8443996678375726E-2</v>
      </c>
      <c r="E65" s="318">
        <v>2.8198888089764469E-2</v>
      </c>
      <c r="F65" s="318">
        <v>2.7948079301418068E-2</v>
      </c>
      <c r="G65" s="318">
        <v>2.7702970712806821E-2</v>
      </c>
      <c r="H65" s="318">
        <v>2.7531964720752457E-2</v>
      </c>
      <c r="I65" s="318">
        <v>2.7531964720752457E-2</v>
      </c>
      <c r="J65" s="318">
        <v>2.7531964720752457E-2</v>
      </c>
      <c r="K65" s="318">
        <v>2.7531964720752457E-2</v>
      </c>
      <c r="L65" s="318">
        <v>2.7531964720752457E-2</v>
      </c>
      <c r="M65" s="318">
        <v>2.7531964720752457E-2</v>
      </c>
      <c r="N65" s="318">
        <v>2.7531964720752457E-2</v>
      </c>
      <c r="O65" s="318">
        <v>2.7531964720752457E-2</v>
      </c>
      <c r="P65" s="318">
        <v>2.7531964720752457E-2</v>
      </c>
      <c r="Q65" s="318">
        <v>2.7531964720752457E-2</v>
      </c>
      <c r="R65" s="318">
        <v>2.7531964720752457E-2</v>
      </c>
      <c r="S65" s="318">
        <v>2.7531964720752457E-2</v>
      </c>
      <c r="T65" s="318">
        <v>2.7531964720752457E-2</v>
      </c>
      <c r="U65" s="318">
        <v>2.7531964720752457E-2</v>
      </c>
    </row>
    <row r="66" spans="1:21" ht="14.4" x14ac:dyDescent="0.3">
      <c r="A66" s="43">
        <v>4</v>
      </c>
      <c r="B66" s="43"/>
      <c r="C66" s="1"/>
      <c r="D66" s="318">
        <v>0.18681574970450104</v>
      </c>
      <c r="E66" s="318">
        <v>0.18520591458680694</v>
      </c>
      <c r="F66" s="318">
        <v>0.18355864144311992</v>
      </c>
      <c r="G66" s="318">
        <v>0.18194880632542587</v>
      </c>
      <c r="H66" s="318">
        <v>0.18082566554563928</v>
      </c>
      <c r="I66" s="318">
        <v>0.18082566554563928</v>
      </c>
      <c r="J66" s="318">
        <v>0.18082566554563928</v>
      </c>
      <c r="K66" s="318">
        <v>0.18082566554563928</v>
      </c>
      <c r="L66" s="318">
        <v>0.18082566554563928</v>
      </c>
      <c r="M66" s="318">
        <v>0.18082566554563928</v>
      </c>
      <c r="N66" s="318">
        <v>0.18082566554563928</v>
      </c>
      <c r="O66" s="318">
        <v>0.18082566554563928</v>
      </c>
      <c r="P66" s="318">
        <v>0.18082566554563928</v>
      </c>
      <c r="Q66" s="318">
        <v>0.18082566554563928</v>
      </c>
      <c r="R66" s="318">
        <v>0.18082566554563928</v>
      </c>
      <c r="S66" s="318">
        <v>0.18082566554563928</v>
      </c>
      <c r="T66" s="318">
        <v>0.18082566554563928</v>
      </c>
      <c r="U66" s="318">
        <v>0.18082566554563928</v>
      </c>
    </row>
    <row r="67" spans="1:21" ht="14.4" x14ac:dyDescent="0.3">
      <c r="A67" s="43">
        <v>5</v>
      </c>
      <c r="B67" s="43"/>
      <c r="C67" s="1"/>
      <c r="D67" s="318">
        <v>3.306360991269139</v>
      </c>
      <c r="E67" s="318">
        <v>3.2778693033684227</v>
      </c>
      <c r="F67" s="318">
        <v>3.2487150180746664</v>
      </c>
      <c r="G67" s="318">
        <v>3.2202233301739507</v>
      </c>
      <c r="H67" s="318">
        <v>3.2003454083827538</v>
      </c>
      <c r="I67" s="318">
        <v>3.2003454083827538</v>
      </c>
      <c r="J67" s="318">
        <v>3.2003454083827538</v>
      </c>
      <c r="K67" s="318">
        <v>3.2003454083827538</v>
      </c>
      <c r="L67" s="318">
        <v>3.2003454083827538</v>
      </c>
      <c r="M67" s="318">
        <v>3.2003454083827538</v>
      </c>
      <c r="N67" s="318">
        <v>3.2003454083827538</v>
      </c>
      <c r="O67" s="318">
        <v>3.2003454083827538</v>
      </c>
      <c r="P67" s="318">
        <v>3.2003454083827538</v>
      </c>
      <c r="Q67" s="318">
        <v>3.2003454083827538</v>
      </c>
      <c r="R67" s="318">
        <v>3.2003454083827538</v>
      </c>
      <c r="S67" s="318">
        <v>3.2003454083827538</v>
      </c>
      <c r="T67" s="318">
        <v>3.2003454083827538</v>
      </c>
      <c r="U67" s="318">
        <v>3.2003454083827538</v>
      </c>
    </row>
    <row r="68" spans="1:21" ht="14.4" x14ac:dyDescent="0.3">
      <c r="A68" s="43">
        <v>6</v>
      </c>
      <c r="B68" s="43"/>
      <c r="C68" s="1"/>
      <c r="D68" s="318">
        <v>1.2775754225618307E-2</v>
      </c>
      <c r="E68" s="318">
        <v>1.2665662555938628E-2</v>
      </c>
      <c r="F68" s="318">
        <v>1.2553010614871052E-2</v>
      </c>
      <c r="G68" s="318">
        <v>1.2442918945191377E-2</v>
      </c>
      <c r="H68" s="318">
        <v>1.2366110803554393E-2</v>
      </c>
      <c r="I68" s="318">
        <v>1.2366110803554393E-2</v>
      </c>
      <c r="J68" s="318">
        <v>1.2366110803554393E-2</v>
      </c>
      <c r="K68" s="318">
        <v>1.2366110803554393E-2</v>
      </c>
      <c r="L68" s="318">
        <v>1.2366110803554393E-2</v>
      </c>
      <c r="M68" s="318">
        <v>1.2366110803554393E-2</v>
      </c>
      <c r="N68" s="318">
        <v>1.2366110803554393E-2</v>
      </c>
      <c r="O68" s="318">
        <v>1.2366110803554393E-2</v>
      </c>
      <c r="P68" s="318">
        <v>1.2366110803554393E-2</v>
      </c>
      <c r="Q68" s="318">
        <v>1.2366110803554393E-2</v>
      </c>
      <c r="R68" s="318">
        <v>1.2366110803554393E-2</v>
      </c>
      <c r="S68" s="318">
        <v>1.2366110803554393E-2</v>
      </c>
      <c r="T68" s="318">
        <v>1.2366110803554393E-2</v>
      </c>
      <c r="U68" s="318">
        <v>1.2366110803554393E-2</v>
      </c>
    </row>
    <row r="69" spans="1:21" ht="14.4" x14ac:dyDescent="0.3">
      <c r="A69" s="43">
        <v>7</v>
      </c>
      <c r="B69" s="43"/>
      <c r="C69" s="1"/>
      <c r="D69" s="318">
        <v>2.3633383613042689</v>
      </c>
      <c r="E69" s="318">
        <v>2.3429729205154741</v>
      </c>
      <c r="F69" s="318">
        <v>2.322133864824615</v>
      </c>
      <c r="G69" s="318">
        <v>2.3017684240358207</v>
      </c>
      <c r="H69" s="318">
        <v>2.2875599769738715</v>
      </c>
      <c r="I69" s="318">
        <v>2.2875599769738715</v>
      </c>
      <c r="J69" s="318">
        <v>2.2875599769738715</v>
      </c>
      <c r="K69" s="318">
        <v>2.2875599769738715</v>
      </c>
      <c r="L69" s="318">
        <v>2.2875599769738715</v>
      </c>
      <c r="M69" s="318">
        <v>2.2875599769738715</v>
      </c>
      <c r="N69" s="318">
        <v>2.2875599769738715</v>
      </c>
      <c r="O69" s="318">
        <v>2.2875599769738715</v>
      </c>
      <c r="P69" s="318">
        <v>2.2875599769738715</v>
      </c>
      <c r="Q69" s="318">
        <v>2.2875599769738715</v>
      </c>
      <c r="R69" s="318">
        <v>2.2875599769738715</v>
      </c>
      <c r="S69" s="318">
        <v>2.2875599769738715</v>
      </c>
      <c r="T69" s="318">
        <v>2.2875599769738715</v>
      </c>
      <c r="U69" s="318">
        <v>2.2875599769738715</v>
      </c>
    </row>
    <row r="70" spans="1:21" ht="14.4" x14ac:dyDescent="0.3">
      <c r="A70" s="43">
        <v>8</v>
      </c>
      <c r="B70" s="43"/>
      <c r="C70" s="1"/>
      <c r="D70" s="318">
        <v>1.2357716487193368E-2</v>
      </c>
      <c r="E70" s="318">
        <v>1.2251227146722561E-2</v>
      </c>
      <c r="F70" s="318">
        <v>1.2142261309961738E-2</v>
      </c>
      <c r="G70" s="318">
        <v>1.2035771969490934E-2</v>
      </c>
      <c r="H70" s="318">
        <v>1.1961477080790374E-2</v>
      </c>
      <c r="I70" s="318">
        <v>1.1961477080790374E-2</v>
      </c>
      <c r="J70" s="318">
        <v>1.1961477080790374E-2</v>
      </c>
      <c r="K70" s="318">
        <v>1.1961477080790374E-2</v>
      </c>
      <c r="L70" s="318">
        <v>1.1961477080790374E-2</v>
      </c>
      <c r="M70" s="318">
        <v>1.1961477080790374E-2</v>
      </c>
      <c r="N70" s="318">
        <v>1.1961477080790374E-2</v>
      </c>
      <c r="O70" s="318">
        <v>1.1961477080790374E-2</v>
      </c>
      <c r="P70" s="318">
        <v>1.1961477080790374E-2</v>
      </c>
      <c r="Q70" s="318">
        <v>1.1961477080790374E-2</v>
      </c>
      <c r="R70" s="318">
        <v>1.1961477080790374E-2</v>
      </c>
      <c r="S70" s="318">
        <v>1.1961477080790374E-2</v>
      </c>
      <c r="T70" s="318">
        <v>1.1961477080790374E-2</v>
      </c>
      <c r="U70" s="318">
        <v>1.1961477080790374E-2</v>
      </c>
    </row>
    <row r="71" spans="1:21" ht="14.4" x14ac:dyDescent="0.3">
      <c r="A71" s="43">
        <v>9</v>
      </c>
      <c r="B71" s="43"/>
      <c r="C71" s="1"/>
      <c r="D71" s="318">
        <v>6.0427198824762199E-3</v>
      </c>
      <c r="E71" s="318">
        <v>5.9906483484188089E-3</v>
      </c>
      <c r="F71" s="318">
        <v>5.9373658484530864E-3</v>
      </c>
      <c r="G71" s="318">
        <v>5.8852943143956771E-3</v>
      </c>
      <c r="H71" s="318">
        <v>5.8489653371463215E-3</v>
      </c>
      <c r="I71" s="318">
        <v>5.8489653371463215E-3</v>
      </c>
      <c r="J71" s="318">
        <v>5.8489653371463215E-3</v>
      </c>
      <c r="K71" s="318">
        <v>5.8489653371463215E-3</v>
      </c>
      <c r="L71" s="318">
        <v>5.8489653371463215E-3</v>
      </c>
      <c r="M71" s="318">
        <v>5.8489653371463215E-3</v>
      </c>
      <c r="N71" s="318">
        <v>5.8489653371463215E-3</v>
      </c>
      <c r="O71" s="318">
        <v>5.8489653371463215E-3</v>
      </c>
      <c r="P71" s="318">
        <v>5.8489653371463215E-3</v>
      </c>
      <c r="Q71" s="318">
        <v>5.8489653371463215E-3</v>
      </c>
      <c r="R71" s="318">
        <v>5.8489653371463215E-3</v>
      </c>
      <c r="S71" s="318">
        <v>5.8489653371463215E-3</v>
      </c>
      <c r="T71" s="318">
        <v>5.8489653371463215E-3</v>
      </c>
      <c r="U71" s="318">
        <v>5.8489653371463215E-3</v>
      </c>
    </row>
    <row r="72" spans="1:21" ht="14.4" x14ac:dyDescent="0.3">
      <c r="A72" s="43">
        <v>10</v>
      </c>
      <c r="B72" s="43"/>
      <c r="C72" s="1"/>
      <c r="D72" s="318">
        <v>3.4022526007580932E-3</v>
      </c>
      <c r="E72" s="318">
        <v>3.3729345923748065E-3</v>
      </c>
      <c r="F72" s="318">
        <v>3.3429347698430718E-3</v>
      </c>
      <c r="G72" s="318">
        <v>3.313616761459786E-3</v>
      </c>
      <c r="H72" s="318">
        <v>3.2931623370063305E-3</v>
      </c>
      <c r="I72" s="318">
        <v>3.2931623370063305E-3</v>
      </c>
      <c r="J72" s="318">
        <v>3.2931623370063305E-3</v>
      </c>
      <c r="K72" s="318">
        <v>3.2931623370063305E-3</v>
      </c>
      <c r="L72" s="318">
        <v>3.2931623370063305E-3</v>
      </c>
      <c r="M72" s="318">
        <v>3.2931623370063305E-3</v>
      </c>
      <c r="N72" s="318">
        <v>3.2931623370063305E-3</v>
      </c>
      <c r="O72" s="318">
        <v>3.2931623370063305E-3</v>
      </c>
      <c r="P72" s="318">
        <v>3.2931623370063305E-3</v>
      </c>
      <c r="Q72" s="318">
        <v>3.2931623370063305E-3</v>
      </c>
      <c r="R72" s="318">
        <v>3.2931623370063305E-3</v>
      </c>
      <c r="S72" s="318">
        <v>3.2931623370063305E-3</v>
      </c>
      <c r="T72" s="318">
        <v>3.2931623370063305E-3</v>
      </c>
      <c r="U72" s="318">
        <v>3.2931623370063305E-3</v>
      </c>
    </row>
    <row r="73" spans="1:21" ht="14.4" x14ac:dyDescent="0.3">
      <c r="A73" s="43">
        <v>11</v>
      </c>
      <c r="B73" s="43"/>
      <c r="C73" s="1"/>
      <c r="D73" s="318">
        <v>2.1961941781275649</v>
      </c>
      <c r="E73" s="318">
        <v>2.1772690579553231</v>
      </c>
      <c r="F73" s="318">
        <v>2.1579038187093085</v>
      </c>
      <c r="G73" s="318">
        <v>2.1389786985370671</v>
      </c>
      <c r="H73" s="318">
        <v>2.1257751263238753</v>
      </c>
      <c r="I73" s="318">
        <v>2.1257751263238753</v>
      </c>
      <c r="J73" s="318">
        <v>2.1257751263238753</v>
      </c>
      <c r="K73" s="318">
        <v>2.1257751263238753</v>
      </c>
      <c r="L73" s="318">
        <v>2.1257751263238753</v>
      </c>
      <c r="M73" s="318">
        <v>2.1257751263238753</v>
      </c>
      <c r="N73" s="318">
        <v>2.1257751263238753</v>
      </c>
      <c r="O73" s="318">
        <v>2.1257751263238753</v>
      </c>
      <c r="P73" s="318">
        <v>2.1257751263238753</v>
      </c>
      <c r="Q73" s="318">
        <v>2.1257751263238753</v>
      </c>
      <c r="R73" s="318">
        <v>2.1257751263238753</v>
      </c>
      <c r="S73" s="318">
        <v>2.1257751263238753</v>
      </c>
      <c r="T73" s="318">
        <v>2.1257751263238753</v>
      </c>
      <c r="U73" s="318">
        <v>2.1257751263238753</v>
      </c>
    </row>
    <row r="74" spans="1:21" ht="14.4" x14ac:dyDescent="0.3">
      <c r="A74" s="43">
        <v>12</v>
      </c>
      <c r="B74" s="43"/>
      <c r="C74" s="1"/>
      <c r="D74" s="318">
        <v>2.1272957025884978E-3</v>
      </c>
      <c r="E74" s="318">
        <v>2.1089642967345285E-3</v>
      </c>
      <c r="F74" s="318">
        <v>2.0902065791165137E-3</v>
      </c>
      <c r="G74" s="318">
        <v>2.0718751732625449E-3</v>
      </c>
      <c r="H74" s="318">
        <v>2.0590858203411713E-3</v>
      </c>
      <c r="I74" s="318">
        <v>2.0590858203411713E-3</v>
      </c>
      <c r="J74" s="318">
        <v>2.0590858203411713E-3</v>
      </c>
      <c r="K74" s="318">
        <v>2.0590858203411713E-3</v>
      </c>
      <c r="L74" s="318">
        <v>2.0590858203411713E-3</v>
      </c>
      <c r="M74" s="318">
        <v>2.0590858203411713E-3</v>
      </c>
      <c r="N74" s="318">
        <v>2.0590858203411713E-3</v>
      </c>
      <c r="O74" s="318">
        <v>2.0590858203411713E-3</v>
      </c>
      <c r="P74" s="318">
        <v>2.0590858203411713E-3</v>
      </c>
      <c r="Q74" s="318">
        <v>2.0590858203411713E-3</v>
      </c>
      <c r="R74" s="318">
        <v>2.0590858203411713E-3</v>
      </c>
      <c r="S74" s="318">
        <v>2.0590858203411713E-3</v>
      </c>
      <c r="T74" s="318">
        <v>2.0590858203411713E-3</v>
      </c>
      <c r="U74" s="318">
        <v>2.0590858203411713E-3</v>
      </c>
    </row>
    <row r="75" spans="1:21" ht="14.4" x14ac:dyDescent="0.3">
      <c r="A75" s="43">
        <v>13</v>
      </c>
      <c r="B75" s="43"/>
      <c r="C75" s="1"/>
      <c r="D75" s="318">
        <v>1.4153409083284725</v>
      </c>
      <c r="E75" s="318">
        <v>1.4031445838679264</v>
      </c>
      <c r="F75" s="318">
        <v>1.3906646239548095</v>
      </c>
      <c r="G75" s="318">
        <v>1.3784682994942636</v>
      </c>
      <c r="H75" s="318">
        <v>1.3699592359171386</v>
      </c>
      <c r="I75" s="318">
        <v>1.3699592359171386</v>
      </c>
      <c r="J75" s="318">
        <v>1.3699592359171386</v>
      </c>
      <c r="K75" s="318">
        <v>1.3699592359171386</v>
      </c>
      <c r="L75" s="318">
        <v>1.3699592359171386</v>
      </c>
      <c r="M75" s="318">
        <v>1.3699592359171386</v>
      </c>
      <c r="N75" s="318">
        <v>1.3699592359171386</v>
      </c>
      <c r="O75" s="318">
        <v>1.3699592359171386</v>
      </c>
      <c r="P75" s="318">
        <v>1.3699592359171386</v>
      </c>
      <c r="Q75" s="318">
        <v>1.3699592359171386</v>
      </c>
      <c r="R75" s="318">
        <v>1.3699592359171386</v>
      </c>
      <c r="S75" s="318">
        <v>1.3699592359171386</v>
      </c>
      <c r="T75" s="318">
        <v>1.3699592359171386</v>
      </c>
      <c r="U75" s="318">
        <v>1.3699592359171386</v>
      </c>
    </row>
    <row r="76" spans="1:21" ht="14.4" x14ac:dyDescent="0.3">
      <c r="A76" s="43">
        <v>14</v>
      </c>
      <c r="B76" s="43"/>
      <c r="C76" s="1"/>
      <c r="D76" s="318">
        <v>7.5440707250987536E-3</v>
      </c>
      <c r="E76" s="318">
        <v>7.4790616988103268E-3</v>
      </c>
      <c r="F76" s="318">
        <v>7.4125408347012391E-3</v>
      </c>
      <c r="G76" s="318">
        <v>7.3475318084128141E-3</v>
      </c>
      <c r="H76" s="318">
        <v>7.302176673792982E-3</v>
      </c>
      <c r="I76" s="318">
        <v>7.302176673792982E-3</v>
      </c>
      <c r="J76" s="318">
        <v>7.302176673792982E-3</v>
      </c>
      <c r="K76" s="318">
        <v>7.302176673792982E-3</v>
      </c>
      <c r="L76" s="318">
        <v>7.302176673792982E-3</v>
      </c>
      <c r="M76" s="318">
        <v>7.302176673792982E-3</v>
      </c>
      <c r="N76" s="318">
        <v>7.302176673792982E-3</v>
      </c>
      <c r="O76" s="318">
        <v>7.302176673792982E-3</v>
      </c>
      <c r="P76" s="318">
        <v>7.302176673792982E-3</v>
      </c>
      <c r="Q76" s="318">
        <v>7.302176673792982E-3</v>
      </c>
      <c r="R76" s="318">
        <v>7.302176673792982E-3</v>
      </c>
      <c r="S76" s="318">
        <v>7.302176673792982E-3</v>
      </c>
      <c r="T76" s="318">
        <v>7.302176673792982E-3</v>
      </c>
      <c r="U76" s="318">
        <v>7.302176673792982E-3</v>
      </c>
    </row>
    <row r="77" spans="1:21" ht="14.4" x14ac:dyDescent="0.3">
      <c r="A77" s="43">
        <v>15</v>
      </c>
      <c r="B77" s="43"/>
      <c r="C77" s="1"/>
      <c r="D77" s="318">
        <v>1.4057523855031829E-3</v>
      </c>
      <c r="E77" s="318">
        <v>1.393638687592033E-3</v>
      </c>
      <c r="F77" s="318">
        <v>1.3812432757759729E-3</v>
      </c>
      <c r="G77" s="318">
        <v>1.3691295778648234E-3</v>
      </c>
      <c r="H77" s="318">
        <v>1.3606781607175098E-3</v>
      </c>
      <c r="I77" s="318">
        <v>1.3606781607175098E-3</v>
      </c>
      <c r="J77" s="318">
        <v>1.3606781607175098E-3</v>
      </c>
      <c r="K77" s="318">
        <v>1.3606781607175098E-3</v>
      </c>
      <c r="L77" s="318">
        <v>1.3606781607175098E-3</v>
      </c>
      <c r="M77" s="318">
        <v>1.3606781607175098E-3</v>
      </c>
      <c r="N77" s="318">
        <v>1.3606781607175098E-3</v>
      </c>
      <c r="O77" s="318">
        <v>1.3606781607175098E-3</v>
      </c>
      <c r="P77" s="318">
        <v>1.3606781607175098E-3</v>
      </c>
      <c r="Q77" s="318">
        <v>1.3606781607175098E-3</v>
      </c>
      <c r="R77" s="318">
        <v>1.3606781607175098E-3</v>
      </c>
      <c r="S77" s="318">
        <v>1.3606781607175098E-3</v>
      </c>
      <c r="T77" s="318">
        <v>1.3606781607175098E-3</v>
      </c>
      <c r="U77" s="318">
        <v>1.3606781607175098E-3</v>
      </c>
    </row>
    <row r="78" spans="1:21" ht="14.4" x14ac:dyDescent="0.3">
      <c r="A78" s="43">
        <v>16</v>
      </c>
      <c r="B78" s="43"/>
      <c r="C78" s="1"/>
      <c r="D78" s="318">
        <v>6.3134207948196252E-3</v>
      </c>
      <c r="E78" s="318">
        <v>6.2590165675295954E-3</v>
      </c>
      <c r="F78" s="318">
        <v>6.2033471256514264E-3</v>
      </c>
      <c r="G78" s="318">
        <v>6.1489428983613984E-3</v>
      </c>
      <c r="H78" s="318">
        <v>6.1109864607171924E-3</v>
      </c>
      <c r="I78" s="318">
        <v>6.1109864607171924E-3</v>
      </c>
      <c r="J78" s="318">
        <v>6.1109864607171924E-3</v>
      </c>
      <c r="K78" s="318">
        <v>6.1109864607171924E-3</v>
      </c>
      <c r="L78" s="318">
        <v>6.1109864607171924E-3</v>
      </c>
      <c r="M78" s="318">
        <v>6.1109864607171924E-3</v>
      </c>
      <c r="N78" s="318">
        <v>6.1109864607171924E-3</v>
      </c>
      <c r="O78" s="318">
        <v>6.1109864607171924E-3</v>
      </c>
      <c r="P78" s="318">
        <v>6.1109864607171924E-3</v>
      </c>
      <c r="Q78" s="318">
        <v>6.1109864607171924E-3</v>
      </c>
      <c r="R78" s="318">
        <v>6.1109864607171924E-3</v>
      </c>
      <c r="S78" s="318">
        <v>6.1109864607171924E-3</v>
      </c>
      <c r="T78" s="318">
        <v>6.1109864607171924E-3</v>
      </c>
      <c r="U78" s="318">
        <v>6.1109864607171924E-3</v>
      </c>
    </row>
    <row r="79" spans="1:21" ht="14.4" x14ac:dyDescent="0.3">
      <c r="A79" s="43">
        <v>17</v>
      </c>
      <c r="B79" s="43"/>
      <c r="C79" s="1"/>
      <c r="D79" s="318">
        <v>0.70551904702869006</v>
      </c>
      <c r="E79" s="318">
        <v>0.69943942397814218</v>
      </c>
      <c r="F79" s="318">
        <v>0.6932184143450234</v>
      </c>
      <c r="G79" s="318">
        <v>0.68713879129447564</v>
      </c>
      <c r="H79" s="318">
        <v>0.68289719381734926</v>
      </c>
      <c r="I79" s="318">
        <v>0.68289719381734926</v>
      </c>
      <c r="J79" s="318">
        <v>0.68289719381734926</v>
      </c>
      <c r="K79" s="318">
        <v>0.68289719381734926</v>
      </c>
      <c r="L79" s="318">
        <v>0.68289719381734926</v>
      </c>
      <c r="M79" s="318">
        <v>0.68289719381734926</v>
      </c>
      <c r="N79" s="318">
        <v>0.68289719381734926</v>
      </c>
      <c r="O79" s="318">
        <v>0.68289719381734926</v>
      </c>
      <c r="P79" s="318">
        <v>0.68289719381734926</v>
      </c>
      <c r="Q79" s="318">
        <v>0.68289719381734926</v>
      </c>
      <c r="R79" s="318">
        <v>0.68289719381734926</v>
      </c>
      <c r="S79" s="318">
        <v>0.68289719381734926</v>
      </c>
      <c r="T79" s="318">
        <v>0.68289719381734926</v>
      </c>
      <c r="U79" s="318">
        <v>0.68289719381734926</v>
      </c>
    </row>
    <row r="80" spans="1:21" ht="14.4" x14ac:dyDescent="0.3">
      <c r="A80" s="43">
        <v>18</v>
      </c>
      <c r="B80" s="43"/>
      <c r="C80" s="1"/>
      <c r="D80" s="318">
        <v>1.883836831846854E-3</v>
      </c>
      <c r="E80" s="318">
        <v>1.8676033681656085E-3</v>
      </c>
      <c r="F80" s="318">
        <v>1.8509923820731712E-3</v>
      </c>
      <c r="G80" s="318">
        <v>1.834758918391926E-3</v>
      </c>
      <c r="H80" s="318">
        <v>1.8234332460561734E-3</v>
      </c>
      <c r="I80" s="318">
        <v>1.8234332460561734E-3</v>
      </c>
      <c r="J80" s="318">
        <v>1.8234332460561734E-3</v>
      </c>
      <c r="K80" s="318">
        <v>1.8234332460561734E-3</v>
      </c>
      <c r="L80" s="318">
        <v>1.8234332460561734E-3</v>
      </c>
      <c r="M80" s="318">
        <v>1.8234332460561734E-3</v>
      </c>
      <c r="N80" s="318">
        <v>1.8234332460561734E-3</v>
      </c>
      <c r="O80" s="318">
        <v>1.8234332460561734E-3</v>
      </c>
      <c r="P80" s="318">
        <v>1.8234332460561734E-3</v>
      </c>
      <c r="Q80" s="318">
        <v>1.8234332460561734E-3</v>
      </c>
      <c r="R80" s="318">
        <v>1.8234332460561734E-3</v>
      </c>
      <c r="S80" s="318">
        <v>1.8234332460561734E-3</v>
      </c>
      <c r="T80" s="318">
        <v>1.8234332460561734E-3</v>
      </c>
      <c r="U80" s="318">
        <v>1.8234332460561734E-3</v>
      </c>
    </row>
    <row r="81" spans="1:21" ht="14.4" x14ac:dyDescent="0.3">
      <c r="A81" s="43">
        <v>19</v>
      </c>
      <c r="B81" s="43"/>
      <c r="C81" s="1"/>
      <c r="D81" s="318">
        <v>0.6629431724617828</v>
      </c>
      <c r="E81" s="318">
        <v>0.65723043570509809</v>
      </c>
      <c r="F81" s="318">
        <v>0.6513848446052346</v>
      </c>
      <c r="G81" s="318">
        <v>0.64567210784855</v>
      </c>
      <c r="H81" s="318">
        <v>0.64168647755318864</v>
      </c>
      <c r="I81" s="318">
        <v>0.64168647755318864</v>
      </c>
      <c r="J81" s="318">
        <v>0.64168647755318864</v>
      </c>
      <c r="K81" s="318">
        <v>0.64168647755318864</v>
      </c>
      <c r="L81" s="318">
        <v>0.64168647755318864</v>
      </c>
      <c r="M81" s="318">
        <v>0.64168647755318864</v>
      </c>
      <c r="N81" s="318">
        <v>0.64168647755318864</v>
      </c>
      <c r="O81" s="318">
        <v>0.64168647755318864</v>
      </c>
      <c r="P81" s="318">
        <v>0.64168647755318864</v>
      </c>
      <c r="Q81" s="318">
        <v>0.64168647755318864</v>
      </c>
      <c r="R81" s="318">
        <v>0.64168647755318864</v>
      </c>
      <c r="S81" s="318">
        <v>0.64168647755318864</v>
      </c>
      <c r="T81" s="318">
        <v>0.64168647755318864</v>
      </c>
      <c r="U81" s="318">
        <v>0.64168647755318864</v>
      </c>
    </row>
    <row r="82" spans="1:21" ht="14.4" x14ac:dyDescent="0.3">
      <c r="A82" s="43">
        <v>20</v>
      </c>
      <c r="B82" s="43"/>
      <c r="C82" s="1"/>
      <c r="D82" s="318">
        <v>2.4847736216957093E-3</v>
      </c>
      <c r="E82" s="318">
        <v>2.4633617447953251E-3</v>
      </c>
      <c r="F82" s="318">
        <v>2.4414519172693506E-3</v>
      </c>
      <c r="G82" s="318">
        <v>2.4200400403689673E-3</v>
      </c>
      <c r="H82" s="318">
        <v>2.4051015216012576E-3</v>
      </c>
      <c r="I82" s="318">
        <v>2.4051015216012576E-3</v>
      </c>
      <c r="J82" s="318">
        <v>2.4051015216012576E-3</v>
      </c>
      <c r="K82" s="318">
        <v>2.4051015216012576E-3</v>
      </c>
      <c r="L82" s="318">
        <v>2.4051015216012576E-3</v>
      </c>
      <c r="M82" s="318">
        <v>2.4051015216012576E-3</v>
      </c>
      <c r="N82" s="318">
        <v>2.4051015216012576E-3</v>
      </c>
      <c r="O82" s="318">
        <v>2.4051015216012576E-3</v>
      </c>
      <c r="P82" s="318">
        <v>2.4051015216012576E-3</v>
      </c>
      <c r="Q82" s="318">
        <v>2.4051015216012576E-3</v>
      </c>
      <c r="R82" s="318">
        <v>2.4051015216012576E-3</v>
      </c>
      <c r="S82" s="318">
        <v>2.4051015216012576E-3</v>
      </c>
      <c r="T82" s="318">
        <v>2.4051015216012576E-3</v>
      </c>
      <c r="U82" s="318">
        <v>2.4051015216012576E-3</v>
      </c>
    </row>
    <row r="83" spans="1:21" ht="14.4" x14ac:dyDescent="0.3">
      <c r="A83" s="43">
        <v>21</v>
      </c>
      <c r="B83" s="43"/>
      <c r="C83" s="1"/>
      <c r="D83" s="318">
        <v>1.1171759052434347E-3</v>
      </c>
      <c r="E83" s="318">
        <v>1.1075489385249039E-3</v>
      </c>
      <c r="F83" s="318">
        <v>1.0976980888594307E-3</v>
      </c>
      <c r="G83" s="318">
        <v>1.0880711221409004E-3</v>
      </c>
      <c r="H83" s="318">
        <v>1.0813546337326231E-3</v>
      </c>
      <c r="I83" s="318">
        <v>1.0813546337326231E-3</v>
      </c>
      <c r="J83" s="318">
        <v>1.0813546337326231E-3</v>
      </c>
      <c r="K83" s="318">
        <v>1.0813546337326231E-3</v>
      </c>
      <c r="L83" s="318">
        <v>1.0813546337326231E-3</v>
      </c>
      <c r="M83" s="318">
        <v>1.0813546337326231E-3</v>
      </c>
      <c r="N83" s="318">
        <v>1.0813546337326231E-3</v>
      </c>
      <c r="O83" s="318">
        <v>1.0813546337326231E-3</v>
      </c>
      <c r="P83" s="318">
        <v>1.0813546337326231E-3</v>
      </c>
      <c r="Q83" s="318">
        <v>1.0813546337326231E-3</v>
      </c>
      <c r="R83" s="318">
        <v>1.0813546337326231E-3</v>
      </c>
      <c r="S83" s="318">
        <v>1.0813546337326231E-3</v>
      </c>
      <c r="T83" s="318">
        <v>1.0813546337326231E-3</v>
      </c>
      <c r="U83" s="318">
        <v>1.0813546337326231E-3</v>
      </c>
    </row>
    <row r="84" spans="1:21" ht="14.4" x14ac:dyDescent="0.3">
      <c r="A84" s="43">
        <v>22</v>
      </c>
      <c r="B84" s="43"/>
      <c r="C84" s="1"/>
      <c r="D84" s="318">
        <v>3.777557927030085E-3</v>
      </c>
      <c r="E84" s="318">
        <v>3.7450058246528712E-3</v>
      </c>
      <c r="F84" s="318">
        <v>3.7116966966389787E-3</v>
      </c>
      <c r="G84" s="318">
        <v>3.6791445942617657E-3</v>
      </c>
      <c r="H84" s="318">
        <v>3.6564338251613847E-3</v>
      </c>
      <c r="I84" s="318">
        <v>3.6564338251613847E-3</v>
      </c>
      <c r="J84" s="318">
        <v>3.6564338251613847E-3</v>
      </c>
      <c r="K84" s="318">
        <v>3.6564338251613847E-3</v>
      </c>
      <c r="L84" s="318">
        <v>3.6564338251613847E-3</v>
      </c>
      <c r="M84" s="318">
        <v>3.6564338251613847E-3</v>
      </c>
      <c r="N84" s="318">
        <v>3.6564338251613847E-3</v>
      </c>
      <c r="O84" s="318">
        <v>3.6564338251613847E-3</v>
      </c>
      <c r="P84" s="318">
        <v>3.6564338251613847E-3</v>
      </c>
      <c r="Q84" s="318">
        <v>3.6564338251613847E-3</v>
      </c>
      <c r="R84" s="318">
        <v>3.6564338251613847E-3</v>
      </c>
      <c r="S84" s="318">
        <v>3.6564338251613847E-3</v>
      </c>
      <c r="T84" s="318">
        <v>3.6564338251613847E-3</v>
      </c>
      <c r="U84" s="318">
        <v>3.6564338251613847E-3</v>
      </c>
    </row>
    <row r="85" spans="1:21" ht="14.4" x14ac:dyDescent="0.3">
      <c r="A85" s="43">
        <v>23</v>
      </c>
      <c r="B85" s="43"/>
      <c r="C85" s="1"/>
      <c r="D85" s="318">
        <v>0.39578666643260285</v>
      </c>
      <c r="E85" s="318">
        <v>0.39237607992827378</v>
      </c>
      <c r="F85" s="318">
        <v>0.38888617745872778</v>
      </c>
      <c r="G85" s="318">
        <v>0.38547559095439876</v>
      </c>
      <c r="H85" s="318">
        <v>0.38309611199789012</v>
      </c>
      <c r="I85" s="318">
        <v>0.38309611199789012</v>
      </c>
      <c r="J85" s="318">
        <v>0.38309611199789012</v>
      </c>
      <c r="K85" s="318">
        <v>0.38309611199789012</v>
      </c>
      <c r="L85" s="318">
        <v>0.38309611199789012</v>
      </c>
      <c r="M85" s="318">
        <v>0.38309611199789012</v>
      </c>
      <c r="N85" s="318">
        <v>0.38309611199789012</v>
      </c>
      <c r="O85" s="318">
        <v>0.38309611199789012</v>
      </c>
      <c r="P85" s="318">
        <v>0.38309611199789012</v>
      </c>
      <c r="Q85" s="318">
        <v>0.38309611199789012</v>
      </c>
      <c r="R85" s="318">
        <v>0.38309611199789012</v>
      </c>
      <c r="S85" s="318">
        <v>0.38309611199789012</v>
      </c>
      <c r="T85" s="318">
        <v>0.38309611199789012</v>
      </c>
      <c r="U85" s="318">
        <v>0.38309611199789012</v>
      </c>
    </row>
    <row r="86" spans="1:21" ht="14.4" x14ac:dyDescent="0.3">
      <c r="A86" s="43">
        <v>24</v>
      </c>
      <c r="B86" s="43"/>
      <c r="C86" s="1"/>
      <c r="D86" s="318">
        <v>5.3285223690435811E-4</v>
      </c>
      <c r="E86" s="318">
        <v>5.282605242416552E-4</v>
      </c>
      <c r="F86" s="318">
        <v>5.2356202756354052E-4</v>
      </c>
      <c r="G86" s="318">
        <v>5.1897031490083772E-4</v>
      </c>
      <c r="H86" s="318">
        <v>5.1576679443848686E-4</v>
      </c>
      <c r="I86" s="318">
        <v>5.1576679443848686E-4</v>
      </c>
      <c r="J86" s="318">
        <v>5.1576679443848686E-4</v>
      </c>
      <c r="K86" s="318">
        <v>5.1576679443848686E-4</v>
      </c>
      <c r="L86" s="318">
        <v>5.1576679443848686E-4</v>
      </c>
      <c r="M86" s="318">
        <v>5.1576679443848686E-4</v>
      </c>
      <c r="N86" s="318">
        <v>5.1576679443848686E-4</v>
      </c>
      <c r="O86" s="318">
        <v>5.1576679443848686E-4</v>
      </c>
      <c r="P86" s="318">
        <v>5.1576679443848686E-4</v>
      </c>
      <c r="Q86" s="318">
        <v>5.1576679443848686E-4</v>
      </c>
      <c r="R86" s="318">
        <v>5.1576679443848686E-4</v>
      </c>
      <c r="S86" s="318">
        <v>5.1576679443848686E-4</v>
      </c>
      <c r="T86" s="318">
        <v>5.1576679443848686E-4</v>
      </c>
      <c r="U86" s="318">
        <v>5.1576679443848686E-4</v>
      </c>
    </row>
    <row r="87" spans="1:21" ht="14.4" x14ac:dyDescent="0.3">
      <c r="A87" s="43">
        <v>25</v>
      </c>
      <c r="B87" s="43"/>
      <c r="C87" s="1"/>
      <c r="D87" s="318">
        <v>0.31776955307117605</v>
      </c>
      <c r="E87" s="318">
        <v>0.31503125832527207</v>
      </c>
      <c r="F87" s="318">
        <v>0.31222928230620756</v>
      </c>
      <c r="G87" s="318">
        <v>0.30949098756030369</v>
      </c>
      <c r="H87" s="318">
        <v>0.30758054936548701</v>
      </c>
      <c r="I87" s="318">
        <v>0.30758054936548701</v>
      </c>
      <c r="J87" s="318">
        <v>0.30758054936548701</v>
      </c>
      <c r="K87" s="318">
        <v>0.30758054936548701</v>
      </c>
      <c r="L87" s="318">
        <v>0.30758054936548701</v>
      </c>
      <c r="M87" s="318">
        <v>0.30758054936548701</v>
      </c>
      <c r="N87" s="318">
        <v>0.30758054936548701</v>
      </c>
      <c r="O87" s="318">
        <v>0.30758054936548701</v>
      </c>
      <c r="P87" s="318">
        <v>0.30758054936548701</v>
      </c>
      <c r="Q87" s="318">
        <v>0.30758054936548701</v>
      </c>
      <c r="R87" s="318">
        <v>0.30758054936548701</v>
      </c>
      <c r="S87" s="318">
        <v>0.30758054936548701</v>
      </c>
      <c r="T87" s="318">
        <v>0.30758054936548701</v>
      </c>
      <c r="U87" s="318">
        <v>0.30758054936548701</v>
      </c>
    </row>
    <row r="88" spans="1:21" ht="14.4" x14ac:dyDescent="0.3">
      <c r="A88" s="43">
        <v>26</v>
      </c>
      <c r="B88" s="43"/>
      <c r="C88" s="1"/>
      <c r="D88" s="318">
        <v>2.730123890123639E-3</v>
      </c>
      <c r="E88" s="318">
        <v>2.7065977724331945E-3</v>
      </c>
      <c r="F88" s="318">
        <v>2.6825245357266934E-3</v>
      </c>
      <c r="G88" s="318">
        <v>2.6589984180362494E-3</v>
      </c>
      <c r="H88" s="318">
        <v>2.6425848475545442E-3</v>
      </c>
      <c r="I88" s="318">
        <v>2.6425848475545442E-3</v>
      </c>
      <c r="J88" s="318">
        <v>2.6425848475545442E-3</v>
      </c>
      <c r="K88" s="318">
        <v>2.6425848475545442E-3</v>
      </c>
      <c r="L88" s="318">
        <v>2.6425848475545442E-3</v>
      </c>
      <c r="M88" s="318">
        <v>2.6425848475545442E-3</v>
      </c>
      <c r="N88" s="318">
        <v>2.6425848475545442E-3</v>
      </c>
      <c r="O88" s="318">
        <v>2.6425848475545442E-3</v>
      </c>
      <c r="P88" s="318">
        <v>2.6425848475545442E-3</v>
      </c>
      <c r="Q88" s="318">
        <v>2.6425848475545442E-3</v>
      </c>
      <c r="R88" s="318">
        <v>2.6425848475545442E-3</v>
      </c>
      <c r="S88" s="318">
        <v>2.6425848475545442E-3</v>
      </c>
      <c r="T88" s="318">
        <v>2.6425848475545442E-3</v>
      </c>
      <c r="U88" s="318">
        <v>2.6425848475545442E-3</v>
      </c>
    </row>
    <row r="89" spans="1:21" ht="14.4" x14ac:dyDescent="0.3">
      <c r="A89" s="43">
        <v>27</v>
      </c>
      <c r="B89" s="43"/>
      <c r="C89" s="1"/>
      <c r="D89" s="318">
        <v>1.0483219422451294E-3</v>
      </c>
      <c r="E89" s="318">
        <v>1.0392883062698705E-3</v>
      </c>
      <c r="F89" s="318">
        <v>1.0300445857370478E-3</v>
      </c>
      <c r="G89" s="318">
        <v>1.0210109497617893E-3</v>
      </c>
      <c r="H89" s="318">
        <v>1.0147084130348648E-3</v>
      </c>
      <c r="I89" s="318">
        <v>1.0147084130348648E-3</v>
      </c>
      <c r="J89" s="318">
        <v>1.0147084130348648E-3</v>
      </c>
      <c r="K89" s="318">
        <v>1.0147084130348648E-3</v>
      </c>
      <c r="L89" s="318">
        <v>1.0147084130348648E-3</v>
      </c>
      <c r="M89" s="318">
        <v>1.0147084130348648E-3</v>
      </c>
      <c r="N89" s="318">
        <v>1.0147084130348648E-3</v>
      </c>
      <c r="O89" s="318">
        <v>1.0147084130348648E-3</v>
      </c>
      <c r="P89" s="318">
        <v>1.0147084130348648E-3</v>
      </c>
      <c r="Q89" s="318">
        <v>1.0147084130348648E-3</v>
      </c>
      <c r="R89" s="318">
        <v>1.0147084130348648E-3</v>
      </c>
      <c r="S89" s="318">
        <v>1.0147084130348648E-3</v>
      </c>
      <c r="T89" s="318">
        <v>1.0147084130348648E-3</v>
      </c>
      <c r="U89" s="318">
        <v>1.0147084130348648E-3</v>
      </c>
    </row>
    <row r="90" spans="1:21" ht="14.4" x14ac:dyDescent="0.3">
      <c r="A90" s="43">
        <v>28</v>
      </c>
      <c r="B90" s="43"/>
      <c r="C90" s="1"/>
      <c r="D90" s="318">
        <v>1.6713228686753869E-3</v>
      </c>
      <c r="E90" s="318">
        <v>1.656920687642713E-3</v>
      </c>
      <c r="F90" s="318">
        <v>1.6421835721674189E-3</v>
      </c>
      <c r="G90" s="318">
        <v>1.6277813911347455E-3</v>
      </c>
      <c r="H90" s="318">
        <v>1.6177333578561359E-3</v>
      </c>
      <c r="I90" s="318">
        <v>1.6177333578561359E-3</v>
      </c>
      <c r="J90" s="318">
        <v>1.6177333578561359E-3</v>
      </c>
      <c r="K90" s="318">
        <v>1.6177333578561359E-3</v>
      </c>
      <c r="L90" s="318">
        <v>1.6177333578561359E-3</v>
      </c>
      <c r="M90" s="318">
        <v>1.6177333578561359E-3</v>
      </c>
      <c r="N90" s="318">
        <v>1.6177333578561359E-3</v>
      </c>
      <c r="O90" s="318">
        <v>1.6177333578561359E-3</v>
      </c>
      <c r="P90" s="318">
        <v>1.6177333578561359E-3</v>
      </c>
      <c r="Q90" s="318">
        <v>1.6177333578561359E-3</v>
      </c>
      <c r="R90" s="318">
        <v>1.6177333578561359E-3</v>
      </c>
      <c r="S90" s="318">
        <v>1.6177333578561359E-3</v>
      </c>
      <c r="T90" s="318">
        <v>1.6177333578561359E-3</v>
      </c>
      <c r="U90" s="318">
        <v>1.6177333578561359E-3</v>
      </c>
    </row>
    <row r="91" spans="1:21" ht="14.4" x14ac:dyDescent="0.3">
      <c r="A91" s="43">
        <v>29</v>
      </c>
      <c r="B91" s="43"/>
      <c r="C91" s="1"/>
      <c r="D91" s="318">
        <v>0.28662223900981759</v>
      </c>
      <c r="E91" s="318">
        <v>0.28415234797225802</v>
      </c>
      <c r="F91" s="318">
        <v>0.28162501760824354</v>
      </c>
      <c r="G91" s="318">
        <v>0.27915512657068403</v>
      </c>
      <c r="H91" s="318">
        <v>0.27743194677703786</v>
      </c>
      <c r="I91" s="318">
        <v>0.27743194677703786</v>
      </c>
      <c r="J91" s="318">
        <v>0.27743194677703786</v>
      </c>
      <c r="K91" s="318">
        <v>0.27743194677703786</v>
      </c>
      <c r="L91" s="318">
        <v>0.27743194677703786</v>
      </c>
      <c r="M91" s="318">
        <v>0.27743194677703786</v>
      </c>
      <c r="N91" s="318">
        <v>0.27743194677703786</v>
      </c>
      <c r="O91" s="318">
        <v>0.27743194677703786</v>
      </c>
      <c r="P91" s="318">
        <v>0.27743194677703786</v>
      </c>
      <c r="Q91" s="318">
        <v>0.27743194677703786</v>
      </c>
      <c r="R91" s="318">
        <v>0.27743194677703786</v>
      </c>
      <c r="S91" s="318">
        <v>0.27743194677703786</v>
      </c>
      <c r="T91" s="318">
        <v>0.27743194677703786</v>
      </c>
      <c r="U91" s="318">
        <v>0.27743194677703786</v>
      </c>
    </row>
    <row r="92" spans="1:21" ht="14.4" x14ac:dyDescent="0.3">
      <c r="A92" s="43">
        <v>30</v>
      </c>
      <c r="B92" s="43"/>
      <c r="C92" s="1"/>
      <c r="D92" s="318">
        <v>8.285496296213758E-4</v>
      </c>
      <c r="E92" s="318">
        <v>8.2140982319377676E-4</v>
      </c>
      <c r="F92" s="318">
        <v>8.1410397475623346E-4</v>
      </c>
      <c r="G92" s="318">
        <v>8.0696416832863453E-4</v>
      </c>
      <c r="H92" s="318">
        <v>8.0198290803030971E-4</v>
      </c>
      <c r="I92" s="318">
        <v>8.0198290803030971E-4</v>
      </c>
      <c r="J92" s="318">
        <v>8.0198290803030971E-4</v>
      </c>
      <c r="K92" s="318">
        <v>8.0198290803030971E-4</v>
      </c>
      <c r="L92" s="318">
        <v>8.0198290803030971E-4</v>
      </c>
      <c r="M92" s="318">
        <v>8.0198290803030971E-4</v>
      </c>
      <c r="N92" s="318">
        <v>8.0198290803030971E-4</v>
      </c>
      <c r="O92" s="318">
        <v>8.0198290803030971E-4</v>
      </c>
      <c r="P92" s="318">
        <v>8.0198290803030971E-4</v>
      </c>
      <c r="Q92" s="318">
        <v>8.0198290803030971E-4</v>
      </c>
      <c r="R92" s="318">
        <v>8.0198290803030971E-4</v>
      </c>
      <c r="S92" s="318">
        <v>8.0198290803030971E-4</v>
      </c>
      <c r="T92" s="318">
        <v>8.0198290803030971E-4</v>
      </c>
      <c r="U92" s="318">
        <v>8.0198290803030971E-4</v>
      </c>
    </row>
    <row r="93" spans="1:21" ht="14.4" x14ac:dyDescent="0.3">
      <c r="A93" s="43">
        <v>31</v>
      </c>
      <c r="B93" s="43"/>
      <c r="C93" s="1"/>
      <c r="D93" s="318">
        <v>0.23581489486773383</v>
      </c>
      <c r="E93" s="318">
        <v>0.23378282262739061</v>
      </c>
      <c r="F93" s="318">
        <v>0.23170349289308592</v>
      </c>
      <c r="G93" s="318">
        <v>0.22967142065274276</v>
      </c>
      <c r="H93" s="318">
        <v>0.22825369583389868</v>
      </c>
      <c r="I93" s="318">
        <v>0.22825369583389868</v>
      </c>
      <c r="J93" s="318">
        <v>0.22825369583389868</v>
      </c>
      <c r="K93" s="318">
        <v>0.22825369583389868</v>
      </c>
      <c r="L93" s="318">
        <v>0.22825369583389868</v>
      </c>
      <c r="M93" s="318">
        <v>0.22825369583389868</v>
      </c>
      <c r="N93" s="318">
        <v>0.22825369583389868</v>
      </c>
      <c r="O93" s="318">
        <v>0.22825369583389868</v>
      </c>
      <c r="P93" s="318">
        <v>0.22825369583389868</v>
      </c>
      <c r="Q93" s="318">
        <v>0.22825369583389868</v>
      </c>
      <c r="R93" s="318">
        <v>0.22825369583389868</v>
      </c>
      <c r="S93" s="318">
        <v>0.22825369583389868</v>
      </c>
      <c r="T93" s="318">
        <v>0.22825369583389868</v>
      </c>
      <c r="U93" s="318">
        <v>0.22825369583389868</v>
      </c>
    </row>
    <row r="94" spans="1:21" ht="14.4" x14ac:dyDescent="0.3">
      <c r="A94" s="43">
        <v>32</v>
      </c>
      <c r="B94" s="43"/>
      <c r="C94" s="1"/>
      <c r="D94" s="318">
        <v>2.7919226840816386E-3</v>
      </c>
      <c r="E94" s="318">
        <v>2.7678640316937601E-3</v>
      </c>
      <c r="F94" s="318">
        <v>2.7432458757619782E-3</v>
      </c>
      <c r="G94" s="318">
        <v>2.7191872233741005E-3</v>
      </c>
      <c r="H94" s="318">
        <v>2.7024021170569765E-3</v>
      </c>
      <c r="I94" s="318">
        <v>2.7024021170569765E-3</v>
      </c>
      <c r="J94" s="318">
        <v>2.7024021170569765E-3</v>
      </c>
      <c r="K94" s="318">
        <v>2.7024021170569765E-3</v>
      </c>
      <c r="L94" s="318">
        <v>2.7024021170569765E-3</v>
      </c>
      <c r="M94" s="318">
        <v>2.7024021170569765E-3</v>
      </c>
      <c r="N94" s="318">
        <v>2.7024021170569765E-3</v>
      </c>
      <c r="O94" s="318">
        <v>2.7024021170569765E-3</v>
      </c>
      <c r="P94" s="318">
        <v>2.7024021170569765E-3</v>
      </c>
      <c r="Q94" s="318">
        <v>2.7024021170569765E-3</v>
      </c>
      <c r="R94" s="318">
        <v>2.7024021170569765E-3</v>
      </c>
      <c r="S94" s="318">
        <v>2.7024021170569765E-3</v>
      </c>
      <c r="T94" s="318">
        <v>2.7024021170569765E-3</v>
      </c>
      <c r="U94" s="318">
        <v>2.7024021170569765E-3</v>
      </c>
    </row>
    <row r="95" spans="1:21" ht="14.4" x14ac:dyDescent="0.3">
      <c r="A95" s="43">
        <v>33</v>
      </c>
      <c r="B95" s="43"/>
      <c r="C95" s="1"/>
      <c r="D95" s="318">
        <v>2.46052719314709E-4</v>
      </c>
      <c r="E95" s="318">
        <v>2.4393242534065439E-4</v>
      </c>
      <c r="F95" s="318">
        <v>2.4176282220441246E-4</v>
      </c>
      <c r="G95" s="318">
        <v>2.3964252823035787E-4</v>
      </c>
      <c r="H95" s="318">
        <v>2.381632533647384E-4</v>
      </c>
      <c r="I95" s="318">
        <v>2.381632533647384E-4</v>
      </c>
      <c r="J95" s="318">
        <v>2.381632533647384E-4</v>
      </c>
      <c r="K95" s="318">
        <v>2.381632533647384E-4</v>
      </c>
      <c r="L95" s="318">
        <v>2.381632533647384E-4</v>
      </c>
      <c r="M95" s="318">
        <v>2.381632533647384E-4</v>
      </c>
      <c r="N95" s="318">
        <v>2.381632533647384E-4</v>
      </c>
      <c r="O95" s="318">
        <v>2.381632533647384E-4</v>
      </c>
      <c r="P95" s="318">
        <v>2.381632533647384E-4</v>
      </c>
      <c r="Q95" s="318">
        <v>2.381632533647384E-4</v>
      </c>
      <c r="R95" s="318">
        <v>2.381632533647384E-4</v>
      </c>
      <c r="S95" s="318">
        <v>2.381632533647384E-4</v>
      </c>
      <c r="T95" s="318">
        <v>2.381632533647384E-4</v>
      </c>
      <c r="U95" s="318">
        <v>2.381632533647384E-4</v>
      </c>
    </row>
    <row r="96" spans="1:21" ht="14.4" x14ac:dyDescent="0.3">
      <c r="A96" s="43">
        <v>34</v>
      </c>
      <c r="B96" s="43"/>
      <c r="C96"/>
      <c r="D96" s="318">
        <v>2.7595054084989341E-3</v>
      </c>
      <c r="E96" s="318">
        <v>2.7357261033755962E-3</v>
      </c>
      <c r="F96" s="318">
        <v>2.7113937911563669E-3</v>
      </c>
      <c r="G96" s="318">
        <v>2.6876144860330299E-3</v>
      </c>
      <c r="H96" s="318">
        <v>2.6710242731562829E-3</v>
      </c>
      <c r="I96" s="318">
        <v>2.6710242731562829E-3</v>
      </c>
      <c r="J96" s="318">
        <v>2.6710242731562829E-3</v>
      </c>
      <c r="K96" s="318">
        <v>2.6710242731562829E-3</v>
      </c>
      <c r="L96" s="318">
        <v>2.6710242731562829E-3</v>
      </c>
      <c r="M96" s="318">
        <v>2.6710242731562829E-3</v>
      </c>
      <c r="N96" s="318">
        <v>2.6710242731562829E-3</v>
      </c>
      <c r="O96" s="318">
        <v>2.6710242731562829E-3</v>
      </c>
      <c r="P96" s="318">
        <v>2.6710242731562829E-3</v>
      </c>
      <c r="Q96" s="318">
        <v>2.6710242731562829E-3</v>
      </c>
      <c r="R96" s="318">
        <v>2.6710242731562829E-3</v>
      </c>
      <c r="S96" s="318">
        <v>2.6710242731562829E-3</v>
      </c>
      <c r="T96" s="318">
        <v>2.6710242731562829E-3</v>
      </c>
      <c r="U96" s="318">
        <v>2.6710242731562829E-3</v>
      </c>
    </row>
    <row r="97" spans="1:21" ht="14.4" x14ac:dyDescent="0.3">
      <c r="A97" s="43">
        <v>35</v>
      </c>
      <c r="B97" s="43"/>
      <c r="C97" s="1"/>
      <c r="D97" s="318">
        <v>0.17683135878704348</v>
      </c>
      <c r="E97" s="318">
        <v>0.17530756150691462</v>
      </c>
      <c r="F97" s="318">
        <v>0.17374832708073629</v>
      </c>
      <c r="G97" s="318">
        <v>0.17222452980060746</v>
      </c>
      <c r="H97" s="318">
        <v>0.17116141541912225</v>
      </c>
      <c r="I97" s="318">
        <v>0.17116141541912225</v>
      </c>
      <c r="J97" s="318">
        <v>0.17116141541912225</v>
      </c>
      <c r="K97" s="318">
        <v>0.17116141541912225</v>
      </c>
      <c r="L97" s="318">
        <v>0.17116141541912225</v>
      </c>
      <c r="M97" s="318">
        <v>0.17116141541912225</v>
      </c>
      <c r="N97" s="318">
        <v>0.17116141541912225</v>
      </c>
      <c r="O97" s="318">
        <v>0.17116141541912225</v>
      </c>
      <c r="P97" s="318">
        <v>0.17116141541912225</v>
      </c>
      <c r="Q97" s="318">
        <v>0.17116141541912225</v>
      </c>
      <c r="R97" s="318">
        <v>0.17116141541912225</v>
      </c>
      <c r="S97" s="318">
        <v>0.17116141541912225</v>
      </c>
      <c r="T97" s="318">
        <v>0.17116141541912225</v>
      </c>
      <c r="U97" s="318">
        <v>0.17116141541912225</v>
      </c>
    </row>
    <row r="98" spans="1:21" ht="14.4" x14ac:dyDescent="0.3">
      <c r="A98" s="43">
        <v>36</v>
      </c>
      <c r="B98" s="43"/>
      <c r="C98"/>
      <c r="D98" s="318">
        <v>6.3098340187504919E-4</v>
      </c>
      <c r="E98" s="318">
        <v>6.2554606995508376E-4</v>
      </c>
      <c r="F98" s="318">
        <v>6.1998228845558433E-4</v>
      </c>
      <c r="G98" s="318">
        <v>6.1454495653561901E-4</v>
      </c>
      <c r="H98" s="318">
        <v>6.1075146914959676E-4</v>
      </c>
      <c r="I98" s="318">
        <v>6.1075146914959676E-4</v>
      </c>
      <c r="J98" s="318">
        <v>6.1075146914959676E-4</v>
      </c>
      <c r="K98" s="318">
        <v>6.1075146914959676E-4</v>
      </c>
      <c r="L98" s="318">
        <v>6.1075146914959676E-4</v>
      </c>
      <c r="M98" s="318">
        <v>6.1075146914959676E-4</v>
      </c>
      <c r="N98" s="318">
        <v>6.1075146914959676E-4</v>
      </c>
      <c r="O98" s="318">
        <v>6.1075146914959676E-4</v>
      </c>
      <c r="P98" s="318">
        <v>6.1075146914959676E-4</v>
      </c>
      <c r="Q98" s="318">
        <v>6.1075146914959676E-4</v>
      </c>
      <c r="R98" s="318">
        <v>6.1075146914959676E-4</v>
      </c>
      <c r="S98" s="318">
        <v>6.1075146914959676E-4</v>
      </c>
      <c r="T98" s="318">
        <v>6.1075146914959676E-4</v>
      </c>
      <c r="U98" s="318">
        <v>6.1075146914959676E-4</v>
      </c>
    </row>
    <row r="99" spans="1:21" ht="14.4" x14ac:dyDescent="0.3">
      <c r="A99" s="43">
        <v>37</v>
      </c>
      <c r="B99" s="43"/>
      <c r="C99" s="1"/>
      <c r="D99" s="318">
        <v>0.1702634207871582</v>
      </c>
      <c r="E99" s="318">
        <v>0.16879622096875183</v>
      </c>
      <c r="F99" s="318">
        <v>0.16729490022433599</v>
      </c>
      <c r="G99" s="318">
        <v>0.16582770040592965</v>
      </c>
      <c r="H99" s="318">
        <v>0.16480407262564611</v>
      </c>
      <c r="I99" s="318">
        <v>0.16480407262564611</v>
      </c>
      <c r="J99" s="318">
        <v>0.16480407262564611</v>
      </c>
      <c r="K99" s="318">
        <v>0.16480407262564611</v>
      </c>
      <c r="L99" s="318">
        <v>0.16480407262564611</v>
      </c>
      <c r="M99" s="318">
        <v>0.16480407262564611</v>
      </c>
      <c r="N99" s="318">
        <v>0.16480407262564611</v>
      </c>
      <c r="O99" s="318">
        <v>0.16480407262564611</v>
      </c>
      <c r="P99" s="318">
        <v>0.16480407262564611</v>
      </c>
      <c r="Q99" s="318">
        <v>0.16480407262564611</v>
      </c>
      <c r="R99" s="318">
        <v>0.16480407262564611</v>
      </c>
      <c r="S99" s="318">
        <v>0.16480407262564611</v>
      </c>
      <c r="T99" s="318">
        <v>0.16480407262564611</v>
      </c>
      <c r="U99" s="318">
        <v>0.16480407262564611</v>
      </c>
    </row>
    <row r="100" spans="1:21" ht="14.4" x14ac:dyDescent="0.3">
      <c r="A100" s="43">
        <v>38</v>
      </c>
      <c r="B100" s="43"/>
      <c r="C100"/>
      <c r="D100" s="318">
        <v>1.1703704137204639E-3</v>
      </c>
      <c r="E100" s="318">
        <v>1.1602850574499268E-3</v>
      </c>
      <c r="F100" s="318">
        <v>1.1499651580103075E-3</v>
      </c>
      <c r="G100" s="318">
        <v>1.1398798017397706E-3</v>
      </c>
      <c r="H100" s="318">
        <v>1.1328435066673029E-3</v>
      </c>
      <c r="I100" s="318">
        <v>1.1328435066673029E-3</v>
      </c>
      <c r="J100" s="318">
        <v>1.1328435066673029E-3</v>
      </c>
      <c r="K100" s="318">
        <v>1.1328435066673029E-3</v>
      </c>
      <c r="L100" s="318">
        <v>1.1328435066673029E-3</v>
      </c>
      <c r="M100" s="318">
        <v>1.1328435066673029E-3</v>
      </c>
      <c r="N100" s="318">
        <v>1.1328435066673029E-3</v>
      </c>
      <c r="O100" s="318">
        <v>1.1328435066673029E-3</v>
      </c>
      <c r="P100" s="318">
        <v>1.1328435066673029E-3</v>
      </c>
      <c r="Q100" s="318">
        <v>1.1328435066673029E-3</v>
      </c>
      <c r="R100" s="318">
        <v>1.1328435066673029E-3</v>
      </c>
      <c r="S100" s="318">
        <v>1.1328435066673029E-3</v>
      </c>
      <c r="T100" s="318">
        <v>1.1328435066673029E-3</v>
      </c>
      <c r="U100" s="318">
        <v>1.1328435066673029E-3</v>
      </c>
    </row>
    <row r="101" spans="1:21" ht="14.4" x14ac:dyDescent="0.3">
      <c r="A101" s="43">
        <v>39</v>
      </c>
      <c r="B101" s="43"/>
      <c r="C101" s="1"/>
      <c r="D101" s="318">
        <v>6.6428961820331556E-4</v>
      </c>
      <c r="E101" s="318">
        <v>6.5856527880797633E-4</v>
      </c>
      <c r="F101" s="318">
        <v>6.5270781524065242E-4</v>
      </c>
      <c r="G101" s="318">
        <v>6.4698347584531341E-4</v>
      </c>
      <c r="H101" s="318">
        <v>6.4298975068577445E-4</v>
      </c>
      <c r="I101" s="318">
        <v>6.4298975068577445E-4</v>
      </c>
      <c r="J101" s="318">
        <v>6.4298975068577445E-4</v>
      </c>
      <c r="K101" s="318">
        <v>6.4298975068577445E-4</v>
      </c>
      <c r="L101" s="318">
        <v>6.4298975068577445E-4</v>
      </c>
      <c r="M101" s="318">
        <v>6.4298975068577445E-4</v>
      </c>
      <c r="N101" s="318">
        <v>6.4298975068577445E-4</v>
      </c>
      <c r="O101" s="318">
        <v>6.4298975068577445E-4</v>
      </c>
      <c r="P101" s="318">
        <v>6.4298975068577445E-4</v>
      </c>
      <c r="Q101" s="318">
        <v>6.4298975068577445E-4</v>
      </c>
      <c r="R101" s="318">
        <v>6.4298975068577445E-4</v>
      </c>
      <c r="S101" s="318">
        <v>6.4298975068577445E-4</v>
      </c>
      <c r="T101" s="318">
        <v>6.4298975068577445E-4</v>
      </c>
      <c r="U101" s="318">
        <v>6.4298975068577445E-4</v>
      </c>
    </row>
    <row r="102" spans="1:21" ht="14.4" x14ac:dyDescent="0.3">
      <c r="A102" s="43">
        <v>40</v>
      </c>
      <c r="B102" s="43"/>
      <c r="C102"/>
      <c r="D102" s="318">
        <v>1.5808064481076536E-3</v>
      </c>
      <c r="E102" s="318">
        <v>1.5671842682943007E-3</v>
      </c>
      <c r="F102" s="318">
        <v>1.5532452936015679E-3</v>
      </c>
      <c r="G102" s="318">
        <v>1.5396231137882156E-3</v>
      </c>
      <c r="H102" s="318">
        <v>1.5301192674068069E-3</v>
      </c>
      <c r="I102" s="318">
        <v>1.5301192674068069E-3</v>
      </c>
      <c r="J102" s="318">
        <v>1.5301192674068069E-3</v>
      </c>
      <c r="K102" s="318">
        <v>1.5301192674068069E-3</v>
      </c>
      <c r="L102" s="318">
        <v>1.5301192674068069E-3</v>
      </c>
      <c r="M102" s="318">
        <v>1.5301192674068069E-3</v>
      </c>
      <c r="N102" s="318">
        <v>1.5301192674068069E-3</v>
      </c>
      <c r="O102" s="318">
        <v>1.5301192674068069E-3</v>
      </c>
      <c r="P102" s="318">
        <v>1.5301192674068069E-3</v>
      </c>
      <c r="Q102" s="318">
        <v>1.5301192674068069E-3</v>
      </c>
      <c r="R102" s="318">
        <v>1.5301192674068069E-3</v>
      </c>
      <c r="S102" s="318">
        <v>1.5301192674068069E-3</v>
      </c>
      <c r="T102" s="318">
        <v>1.5301192674068069E-3</v>
      </c>
      <c r="U102" s="318">
        <v>1.5301192674068069E-3</v>
      </c>
    </row>
    <row r="103" spans="1:21" ht="14.4" x14ac:dyDescent="0.3">
      <c r="A103" s="43">
        <v>41</v>
      </c>
      <c r="B103" s="43"/>
      <c r="C103" s="1"/>
      <c r="D103" s="318">
        <v>0.12689902611613454</v>
      </c>
      <c r="E103" s="318">
        <v>0.12580550745421193</v>
      </c>
      <c r="F103" s="318">
        <v>0.124686558125733</v>
      </c>
      <c r="G103" s="318">
        <v>0.12359303946381041</v>
      </c>
      <c r="H103" s="318">
        <v>0.12283011946712022</v>
      </c>
      <c r="I103" s="318">
        <v>0.12283011946712022</v>
      </c>
      <c r="J103" s="318">
        <v>0.12283011946712022</v>
      </c>
      <c r="K103" s="318">
        <v>0.12283011946712022</v>
      </c>
      <c r="L103" s="318">
        <v>0.12283011946712022</v>
      </c>
      <c r="M103" s="318">
        <v>0.12283011946712022</v>
      </c>
      <c r="N103" s="318">
        <v>0.12283011946712022</v>
      </c>
      <c r="O103" s="318">
        <v>0.12283011946712022</v>
      </c>
      <c r="P103" s="318">
        <v>0.12283011946712022</v>
      </c>
      <c r="Q103" s="318">
        <v>0.12283011946712022</v>
      </c>
      <c r="R103" s="318">
        <v>0.12283011946712022</v>
      </c>
      <c r="S103" s="318">
        <v>0.12283011946712022</v>
      </c>
      <c r="T103" s="318">
        <v>0.12283011946712022</v>
      </c>
      <c r="U103" s="318">
        <v>0.12283011946712022</v>
      </c>
    </row>
    <row r="104" spans="1:21" ht="14.4" x14ac:dyDescent="0.3">
      <c r="A104" s="43">
        <v>42</v>
      </c>
      <c r="B104" s="43"/>
      <c r="C104"/>
      <c r="D104" s="318">
        <v>2.4095366497059592E-4</v>
      </c>
      <c r="E104" s="318">
        <v>2.3887731074339436E-4</v>
      </c>
      <c r="F104" s="318">
        <v>2.3675266920858347E-4</v>
      </c>
      <c r="G104" s="318">
        <v>2.3467631498138197E-4</v>
      </c>
      <c r="H104" s="318">
        <v>2.3322769575310185E-4</v>
      </c>
      <c r="I104" s="318">
        <v>2.3322769575310185E-4</v>
      </c>
      <c r="J104" s="318">
        <v>2.3322769575310185E-4</v>
      </c>
      <c r="K104" s="318">
        <v>2.3322769575310185E-4</v>
      </c>
      <c r="L104" s="318">
        <v>2.3322769575310185E-4</v>
      </c>
      <c r="M104" s="318">
        <v>2.3322769575310185E-4</v>
      </c>
      <c r="N104" s="318">
        <v>2.3322769575310185E-4</v>
      </c>
      <c r="O104" s="318">
        <v>2.3322769575310185E-4</v>
      </c>
      <c r="P104" s="318">
        <v>2.3322769575310185E-4</v>
      </c>
      <c r="Q104" s="318">
        <v>2.3322769575310185E-4</v>
      </c>
      <c r="R104" s="318">
        <v>2.3322769575310185E-4</v>
      </c>
      <c r="S104" s="318">
        <v>2.3322769575310185E-4</v>
      </c>
      <c r="T104" s="318">
        <v>2.3322769575310185E-4</v>
      </c>
      <c r="U104" s="318">
        <v>2.3322769575310185E-4</v>
      </c>
    </row>
    <row r="105" spans="1:21" ht="14.4" x14ac:dyDescent="0.3">
      <c r="A105" s="43">
        <v>43</v>
      </c>
      <c r="B105" s="43"/>
      <c r="C105" s="1"/>
      <c r="D105" s="318">
        <v>0.1128807414715028</v>
      </c>
      <c r="E105" s="318">
        <v>0.1119080216552153</v>
      </c>
      <c r="F105" s="318">
        <v>0.11091268044785134</v>
      </c>
      <c r="G105" s="318">
        <v>0.10993996063156386</v>
      </c>
      <c r="H105" s="318">
        <v>0.10926131889927025</v>
      </c>
      <c r="I105" s="318">
        <v>0.10926131889927025</v>
      </c>
      <c r="J105" s="318">
        <v>0.10926131889927025</v>
      </c>
      <c r="K105" s="318">
        <v>0.10926131889927025</v>
      </c>
      <c r="L105" s="318">
        <v>0.10926131889927025</v>
      </c>
      <c r="M105" s="318">
        <v>0.10926131889927025</v>
      </c>
      <c r="N105" s="318">
        <v>0.10926131889927025</v>
      </c>
      <c r="O105" s="318">
        <v>0.10926131889927025</v>
      </c>
      <c r="P105" s="318">
        <v>0.10926131889927025</v>
      </c>
      <c r="Q105" s="318">
        <v>0.10926131889927025</v>
      </c>
      <c r="R105" s="318">
        <v>0.10926131889927025</v>
      </c>
      <c r="S105" s="318">
        <v>0.10926131889927025</v>
      </c>
      <c r="T105" s="318">
        <v>0.10926131889927025</v>
      </c>
      <c r="U105" s="318">
        <v>0.10926131889927025</v>
      </c>
    </row>
    <row r="106" spans="1:21" ht="14.4" x14ac:dyDescent="0.3">
      <c r="A106" s="43">
        <v>44</v>
      </c>
      <c r="B106" s="43"/>
      <c r="C106"/>
      <c r="D106" s="318">
        <v>1.8562243124160176E-3</v>
      </c>
      <c r="E106" s="318">
        <v>1.8402287922889857E-3</v>
      </c>
      <c r="F106" s="318">
        <v>1.8238612833217903E-3</v>
      </c>
      <c r="G106" s="318">
        <v>1.8078657631947586E-3</v>
      </c>
      <c r="H106" s="318">
        <v>1.7967060979898527E-3</v>
      </c>
      <c r="I106" s="318">
        <v>1.7967060979898527E-3</v>
      </c>
      <c r="J106" s="318">
        <v>1.7967060979898527E-3</v>
      </c>
      <c r="K106" s="318">
        <v>1.7967060979898527E-3</v>
      </c>
      <c r="L106" s="318">
        <v>1.7967060979898527E-3</v>
      </c>
      <c r="M106" s="318">
        <v>1.7967060979898527E-3</v>
      </c>
      <c r="N106" s="318">
        <v>1.7967060979898527E-3</v>
      </c>
      <c r="O106" s="318">
        <v>1.7967060979898527E-3</v>
      </c>
      <c r="P106" s="318">
        <v>1.7967060979898527E-3</v>
      </c>
      <c r="Q106" s="318">
        <v>1.7967060979898527E-3</v>
      </c>
      <c r="R106" s="318">
        <v>1.7967060979898527E-3</v>
      </c>
      <c r="S106" s="318">
        <v>1.7967060979898527E-3</v>
      </c>
      <c r="T106" s="318">
        <v>1.7967060979898527E-3</v>
      </c>
      <c r="U106" s="318">
        <v>1.7967060979898527E-3</v>
      </c>
    </row>
    <row r="107" spans="1:21" ht="14.4" x14ac:dyDescent="0.3">
      <c r="A107" s="43">
        <v>45</v>
      </c>
      <c r="B107" s="43"/>
      <c r="C107" s="1"/>
      <c r="D107" s="318">
        <v>3.5345677459194163E-4</v>
      </c>
      <c r="E107" s="318">
        <v>3.5041095469064831E-4</v>
      </c>
      <c r="F107" s="318">
        <v>3.4729430176839467E-4</v>
      </c>
      <c r="G107" s="318">
        <v>3.4424848186710147E-4</v>
      </c>
      <c r="H107" s="318">
        <v>3.4212349123829218E-4</v>
      </c>
      <c r="I107" s="318">
        <v>3.4212349123829218E-4</v>
      </c>
      <c r="J107" s="318">
        <v>3.4212349123829218E-4</v>
      </c>
      <c r="K107" s="318">
        <v>3.4212349123829218E-4</v>
      </c>
      <c r="L107" s="318">
        <v>3.4212349123829218E-4</v>
      </c>
      <c r="M107" s="318">
        <v>3.4212349123829218E-4</v>
      </c>
      <c r="N107" s="318">
        <v>3.4212349123829218E-4</v>
      </c>
      <c r="O107" s="318">
        <v>3.4212349123829218E-4</v>
      </c>
      <c r="P107" s="318">
        <v>3.4212349123829218E-4</v>
      </c>
      <c r="Q107" s="318">
        <v>3.4212349123829218E-4</v>
      </c>
      <c r="R107" s="318">
        <v>3.4212349123829218E-4</v>
      </c>
      <c r="S107" s="318">
        <v>3.4212349123829218E-4</v>
      </c>
      <c r="T107" s="318">
        <v>3.4212349123829218E-4</v>
      </c>
      <c r="U107" s="318">
        <v>3.4212349123829218E-4</v>
      </c>
    </row>
    <row r="108" spans="1:21" ht="14.4" x14ac:dyDescent="0.3">
      <c r="A108" s="43">
        <v>46</v>
      </c>
      <c r="B108" s="43"/>
      <c r="C108"/>
      <c r="D108" s="318">
        <v>1.4179687765222223E-3</v>
      </c>
      <c r="E108" s="318">
        <v>1.4057498071052973E-3</v>
      </c>
      <c r="F108" s="318">
        <v>1.3932466756089088E-3</v>
      </c>
      <c r="G108" s="318">
        <v>1.381027706191984E-3</v>
      </c>
      <c r="H108" s="318">
        <v>1.3725028438080829E-3</v>
      </c>
      <c r="I108" s="318">
        <v>1.3725028438080829E-3</v>
      </c>
      <c r="J108" s="318">
        <v>1.3725028438080829E-3</v>
      </c>
      <c r="K108" s="318">
        <v>1.3725028438080829E-3</v>
      </c>
      <c r="L108" s="318">
        <v>1.3725028438080829E-3</v>
      </c>
      <c r="M108" s="318">
        <v>1.3725028438080829E-3</v>
      </c>
      <c r="N108" s="318">
        <v>1.3725028438080829E-3</v>
      </c>
      <c r="O108" s="318">
        <v>1.3725028438080829E-3</v>
      </c>
      <c r="P108" s="318">
        <v>1.3725028438080829E-3</v>
      </c>
      <c r="Q108" s="318">
        <v>1.3725028438080829E-3</v>
      </c>
      <c r="R108" s="318">
        <v>1.3725028438080829E-3</v>
      </c>
      <c r="S108" s="318">
        <v>1.3725028438080829E-3</v>
      </c>
      <c r="T108" s="318">
        <v>1.3725028438080829E-3</v>
      </c>
      <c r="U108" s="318">
        <v>1.3725028438080829E-3</v>
      </c>
    </row>
    <row r="109" spans="1:21" ht="14.4" x14ac:dyDescent="0.3">
      <c r="A109" s="43">
        <v>47</v>
      </c>
      <c r="B109" s="43"/>
      <c r="C109" s="1"/>
      <c r="D109" s="318">
        <v>0.10627143062294452</v>
      </c>
      <c r="E109" s="318">
        <v>0.10535566478791714</v>
      </c>
      <c r="F109" s="318">
        <v>0.10441860207300539</v>
      </c>
      <c r="G109" s="318">
        <v>0.10350283623797803</v>
      </c>
      <c r="H109" s="318">
        <v>0.10286392984144729</v>
      </c>
      <c r="I109" s="318">
        <v>0.10286392984144729</v>
      </c>
      <c r="J109" s="318">
        <v>0.10286392984144729</v>
      </c>
      <c r="K109" s="318">
        <v>0.10286392984144729</v>
      </c>
      <c r="L109" s="318">
        <v>0.10286392984144729</v>
      </c>
      <c r="M109" s="318">
        <v>0.10286392984144729</v>
      </c>
      <c r="N109" s="318">
        <v>0.10286392984144729</v>
      </c>
      <c r="O109" s="318">
        <v>0.10286392984144729</v>
      </c>
      <c r="P109" s="318">
        <v>0.10286392984144729</v>
      </c>
      <c r="Q109" s="318">
        <v>0.10286392984144729</v>
      </c>
      <c r="R109" s="318">
        <v>0.10286392984144729</v>
      </c>
      <c r="S109" s="318">
        <v>0.10286392984144729</v>
      </c>
      <c r="T109" s="318">
        <v>0.10286392984144729</v>
      </c>
      <c r="U109" s="318">
        <v>0.10286392984144729</v>
      </c>
    </row>
    <row r="110" spans="1:21" ht="14.4" x14ac:dyDescent="0.3">
      <c r="A110" s="43">
        <v>48</v>
      </c>
      <c r="B110" s="43"/>
      <c r="C110"/>
      <c r="D110" s="318">
        <v>5.0457473136599602E-4</v>
      </c>
      <c r="E110" s="318">
        <v>5.0022669259871383E-4</v>
      </c>
      <c r="F110" s="318">
        <v>4.9577753665079724E-4</v>
      </c>
      <c r="G110" s="318">
        <v>4.9142949788351516E-4</v>
      </c>
      <c r="H110" s="318">
        <v>4.8839598246448116E-4</v>
      </c>
      <c r="I110" s="318">
        <v>4.8839598246448116E-4</v>
      </c>
      <c r="J110" s="318">
        <v>4.8839598246448116E-4</v>
      </c>
      <c r="K110" s="318">
        <v>4.8839598246448116E-4</v>
      </c>
      <c r="L110" s="318">
        <v>4.8839598246448116E-4</v>
      </c>
      <c r="M110" s="318">
        <v>4.8839598246448116E-4</v>
      </c>
      <c r="N110" s="318">
        <v>4.8839598246448116E-4</v>
      </c>
      <c r="O110" s="318">
        <v>4.8839598246448116E-4</v>
      </c>
      <c r="P110" s="318">
        <v>4.8839598246448116E-4</v>
      </c>
      <c r="Q110" s="318">
        <v>4.8839598246448116E-4</v>
      </c>
      <c r="R110" s="318">
        <v>4.8839598246448116E-4</v>
      </c>
      <c r="S110" s="318">
        <v>4.8839598246448116E-4</v>
      </c>
      <c r="T110" s="318">
        <v>4.8839598246448116E-4</v>
      </c>
      <c r="U110" s="318">
        <v>4.8839598246448116E-4</v>
      </c>
    </row>
    <row r="111" spans="1:21" ht="14.4" x14ac:dyDescent="0.3">
      <c r="A111" s="43">
        <v>49</v>
      </c>
      <c r="B111" s="43"/>
      <c r="C111" s="1"/>
      <c r="D111" s="318">
        <v>9.297577199585369E-2</v>
      </c>
      <c r="E111" s="318">
        <v>9.2174577968634902E-2</v>
      </c>
      <c r="F111" s="318">
        <v>9.1354751522178465E-2</v>
      </c>
      <c r="G111" s="318">
        <v>9.0553557494959705E-2</v>
      </c>
      <c r="H111" s="318">
        <v>8.9994584917830328E-2</v>
      </c>
      <c r="I111" s="318">
        <v>8.9994584917830328E-2</v>
      </c>
      <c r="J111" s="318">
        <v>8.9994584917830328E-2</v>
      </c>
      <c r="K111" s="318">
        <v>8.9994584917830328E-2</v>
      </c>
      <c r="L111" s="318">
        <v>8.9994584917830328E-2</v>
      </c>
      <c r="M111" s="318">
        <v>8.9994584917830328E-2</v>
      </c>
      <c r="N111" s="318">
        <v>8.9994584917830328E-2</v>
      </c>
      <c r="O111" s="318">
        <v>8.9994584917830328E-2</v>
      </c>
      <c r="P111" s="318">
        <v>8.9994584917830328E-2</v>
      </c>
      <c r="Q111" s="318">
        <v>8.9994584917830328E-2</v>
      </c>
      <c r="R111" s="318">
        <v>8.9994584917830328E-2</v>
      </c>
      <c r="S111" s="318">
        <v>8.9994584917830328E-2</v>
      </c>
      <c r="T111" s="318">
        <v>8.9994584917830328E-2</v>
      </c>
      <c r="U111" s="318">
        <v>8.9994584917830328E-2</v>
      </c>
    </row>
    <row r="112" spans="1:21" ht="14.4" x14ac:dyDescent="0.3">
      <c r="A112" s="43">
        <v>50</v>
      </c>
      <c r="B112" s="43"/>
      <c r="C112"/>
      <c r="D112" s="318">
        <v>1.4177758511646067E-3</v>
      </c>
      <c r="E112" s="318">
        <v>1.4055585442307231E-3</v>
      </c>
      <c r="F112" s="318">
        <v>1.3930571138797726E-3</v>
      </c>
      <c r="G112" s="318">
        <v>1.3808398069458895E-3</v>
      </c>
      <c r="H112" s="318">
        <v>1.3723161044338777E-3</v>
      </c>
      <c r="I112" s="318">
        <v>1.3723161044338777E-3</v>
      </c>
      <c r="J112" s="318">
        <v>1.3723161044338777E-3</v>
      </c>
      <c r="K112" s="318">
        <v>1.3723161044338777E-3</v>
      </c>
      <c r="L112" s="318">
        <v>1.3723161044338777E-3</v>
      </c>
      <c r="M112" s="318">
        <v>1.3723161044338777E-3</v>
      </c>
      <c r="N112" s="318">
        <v>1.3723161044338777E-3</v>
      </c>
      <c r="O112" s="318">
        <v>1.3723161044338777E-3</v>
      </c>
      <c r="P112" s="318">
        <v>1.3723161044338777E-3</v>
      </c>
      <c r="Q112" s="318">
        <v>1.3723161044338777E-3</v>
      </c>
      <c r="R112" s="318">
        <v>1.3723161044338777E-3</v>
      </c>
      <c r="S112" s="318">
        <v>1.3723161044338777E-3</v>
      </c>
      <c r="T112" s="318">
        <v>1.3723161044338777E-3</v>
      </c>
      <c r="U112" s="318">
        <v>1.3723161044338777E-3</v>
      </c>
    </row>
    <row r="113" spans="2:21" x14ac:dyDescent="0.25">
      <c r="D113" s="51"/>
      <c r="E113" s="32"/>
      <c r="F113" s="32"/>
      <c r="G113" s="32"/>
    </row>
    <row r="114" spans="2:21" x14ac:dyDescent="0.25">
      <c r="B114" s="26" t="s">
        <v>5</v>
      </c>
      <c r="D114" s="32">
        <f t="shared" ref="D114:U114" si="7">SQRT(SUMSQ(D64:D112))</f>
        <v>4.986442504597016</v>
      </c>
      <c r="E114" s="32">
        <f t="shared" si="7"/>
        <v>4.9434731603690265</v>
      </c>
      <c r="F114" s="32">
        <f t="shared" si="7"/>
        <v>4.8995045290659665</v>
      </c>
      <c r="G114" s="32">
        <f t="shared" si="7"/>
        <v>4.8565351848379752</v>
      </c>
      <c r="H114" s="32">
        <f t="shared" si="7"/>
        <v>4.826556572585889</v>
      </c>
      <c r="I114" s="32">
        <f t="shared" si="7"/>
        <v>4.826556572585889</v>
      </c>
      <c r="J114" s="32">
        <f t="shared" si="7"/>
        <v>4.826556572585889</v>
      </c>
      <c r="K114" s="32">
        <f t="shared" si="7"/>
        <v>4.826556572585889</v>
      </c>
      <c r="L114" s="32">
        <f t="shared" si="7"/>
        <v>4.826556572585889</v>
      </c>
      <c r="M114" s="32">
        <f t="shared" si="7"/>
        <v>4.826556572585889</v>
      </c>
      <c r="N114" s="32">
        <f t="shared" si="7"/>
        <v>4.826556572585889</v>
      </c>
      <c r="O114" s="32">
        <f t="shared" si="7"/>
        <v>4.826556572585889</v>
      </c>
      <c r="P114" s="32">
        <f t="shared" si="7"/>
        <v>4.826556572585889</v>
      </c>
      <c r="Q114" s="32">
        <f t="shared" si="7"/>
        <v>4.826556572585889</v>
      </c>
      <c r="R114" s="32">
        <f t="shared" si="7"/>
        <v>4.826556572585889</v>
      </c>
      <c r="S114" s="32">
        <f t="shared" si="7"/>
        <v>4.826556572585889</v>
      </c>
      <c r="T114" s="32">
        <f t="shared" si="7"/>
        <v>4.826556572585889</v>
      </c>
      <c r="U114" s="32">
        <f t="shared" si="7"/>
        <v>4.826556572585889</v>
      </c>
    </row>
    <row r="115" spans="2:21" x14ac:dyDescent="0.25">
      <c r="S115" s="82"/>
    </row>
    <row r="116" spans="2:21" x14ac:dyDescent="0.25">
      <c r="D116" s="32"/>
      <c r="E116" s="32"/>
      <c r="F116" s="32"/>
      <c r="G116" s="32"/>
      <c r="H116" s="32"/>
      <c r="I116" s="32"/>
      <c r="M116" s="32"/>
      <c r="N116" s="32"/>
    </row>
    <row r="118" spans="2:21" x14ac:dyDescent="0.25">
      <c r="D118" s="32"/>
      <c r="E118" s="32"/>
      <c r="F118" s="32"/>
      <c r="G118" s="32"/>
      <c r="H118" s="32"/>
      <c r="I118" s="32"/>
    </row>
  </sheetData>
  <pageMargins left="0.75" right="0.75" top="1" bottom="1" header="0.5" footer="0.5"/>
  <pageSetup scale="42" fitToHeight="2" orientation="portrait" r:id="rId1"/>
  <headerFooter alignWithMargins="0">
    <oddHeader>&amp;R&amp;D
&amp;T
rh</oddHeader>
    <oddFooter>&amp;L&amp;F
&amp;A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X76"/>
  <sheetViews>
    <sheetView showGridLines="0" zoomScaleNormal="100" workbookViewId="0"/>
  </sheetViews>
  <sheetFormatPr defaultRowHeight="14.4" x14ac:dyDescent="0.3"/>
  <cols>
    <col min="1" max="1" width="3.5546875" customWidth="1"/>
    <col min="3" max="3" width="10.33203125" customWidth="1"/>
    <col min="4" max="4" width="8.88671875" customWidth="1"/>
    <col min="5" max="5" width="11.33203125" bestFit="1" customWidth="1"/>
    <col min="6" max="6" width="8.88671875" customWidth="1"/>
    <col min="7" max="7" width="11" customWidth="1"/>
    <col min="8" max="8" width="4.109375" customWidth="1"/>
    <col min="9" max="10" width="8.88671875" customWidth="1"/>
    <col min="11" max="11" width="8.6640625" customWidth="1"/>
    <col min="12" max="12" width="9.6640625" customWidth="1"/>
    <col min="13" max="13" width="6.44140625" customWidth="1"/>
    <col min="14" max="14" width="11.5546875" customWidth="1"/>
    <col min="17" max="17" width="3.5546875" customWidth="1"/>
    <col min="18" max="18" width="8" customWidth="1"/>
    <col min="19" max="19" width="9.33203125" customWidth="1"/>
    <col min="20" max="20" width="10.88671875" customWidth="1"/>
    <col min="21" max="21" width="26.44140625" customWidth="1"/>
    <col min="22" max="22" width="23" customWidth="1"/>
    <col min="23" max="23" width="21.5546875" customWidth="1"/>
    <col min="24" max="24" width="12.6640625" customWidth="1"/>
    <col min="25" max="25" width="21.5546875" customWidth="1"/>
    <col min="26" max="26" width="12.6640625" customWidth="1"/>
    <col min="27" max="27" width="3.5546875" customWidth="1"/>
    <col min="28" max="28" width="8" customWidth="1"/>
    <col min="29" max="29" width="9.33203125" customWidth="1"/>
    <col min="30" max="30" width="10.88671875" customWidth="1"/>
    <col min="31" max="31" width="26.44140625" customWidth="1"/>
    <col min="32" max="32" width="23" customWidth="1"/>
    <col min="33" max="33" width="21.5546875" customWidth="1"/>
    <col min="34" max="34" width="12.6640625" customWidth="1"/>
    <col min="35" max="35" width="21.5546875" customWidth="1"/>
    <col min="36" max="36" width="12.6640625" customWidth="1"/>
    <col min="37" max="37" width="3.5546875" customWidth="1"/>
    <col min="38" max="38" width="8" customWidth="1"/>
    <col min="39" max="39" width="9.33203125" customWidth="1"/>
    <col min="40" max="40" width="10.88671875" customWidth="1"/>
    <col min="41" max="44" width="12.6640625" customWidth="1"/>
    <col min="45" max="45" width="8.109375" customWidth="1"/>
    <col min="46" max="48" width="12.6640625" customWidth="1"/>
    <col min="49" max="49" width="8.109375" customWidth="1"/>
    <col min="50" max="50" width="12.6640625" customWidth="1"/>
  </cols>
  <sheetData>
    <row r="1" spans="1:50" ht="15" thickBot="1" x14ac:dyDescent="0.35">
      <c r="A1" s="327">
        <f>IF(E15="UTILITY",0,100)</f>
        <v>0</v>
      </c>
    </row>
    <row r="2" spans="1:50" ht="60" customHeight="1" thickBot="1" x14ac:dyDescent="0.35">
      <c r="A2" s="185"/>
      <c r="B2" s="186"/>
      <c r="C2" s="187"/>
      <c r="D2" s="188"/>
      <c r="E2" s="550" t="s">
        <v>606</v>
      </c>
      <c r="F2" s="551"/>
      <c r="G2" s="551"/>
      <c r="H2" s="551"/>
      <c r="I2" s="551"/>
      <c r="J2" s="551"/>
      <c r="K2" s="551"/>
      <c r="L2" s="551"/>
      <c r="M2" s="552"/>
      <c r="N2" s="680">
        <f ca="1">TODAY()</f>
        <v>44747</v>
      </c>
      <c r="O2" s="681"/>
      <c r="P2" s="682"/>
      <c r="R2" s="186"/>
      <c r="S2" s="187"/>
      <c r="T2" s="187"/>
      <c r="U2" s="550" t="s">
        <v>605</v>
      </c>
      <c r="V2" s="551"/>
      <c r="W2" s="551"/>
      <c r="X2" s="552"/>
      <c r="Y2" s="688">
        <f ca="1">N2</f>
        <v>44747</v>
      </c>
      <c r="Z2" s="689"/>
      <c r="AA2" s="344"/>
      <c r="AB2" s="186"/>
      <c r="AC2" s="187"/>
      <c r="AD2" s="187"/>
      <c r="AE2" s="550" t="s">
        <v>607</v>
      </c>
      <c r="AF2" s="551"/>
      <c r="AG2" s="551"/>
      <c r="AH2" s="552"/>
      <c r="AI2" s="680">
        <f ca="1">Y2</f>
        <v>44747</v>
      </c>
      <c r="AJ2" s="682"/>
      <c r="AL2" s="186"/>
      <c r="AM2" s="187"/>
      <c r="AN2" s="188"/>
      <c r="AO2" s="550" t="s">
        <v>608</v>
      </c>
      <c r="AP2" s="551"/>
      <c r="AQ2" s="551"/>
      <c r="AR2" s="551"/>
      <c r="AS2" s="551"/>
      <c r="AT2" s="551"/>
      <c r="AU2" s="552"/>
      <c r="AV2" s="680">
        <f ca="1">AI2</f>
        <v>44747</v>
      </c>
      <c r="AW2" s="681"/>
      <c r="AX2" s="682"/>
    </row>
    <row r="3" spans="1:50" ht="26.4" thickBot="1" x14ac:dyDescent="0.4">
      <c r="A3" s="185"/>
      <c r="B3" s="189"/>
      <c r="C3" s="189"/>
      <c r="D3" s="189"/>
      <c r="E3" s="189"/>
      <c r="F3" s="189"/>
      <c r="G3" s="361"/>
      <c r="H3" s="361"/>
      <c r="I3" s="361"/>
      <c r="J3" s="361"/>
      <c r="K3" s="361"/>
      <c r="L3" s="361"/>
      <c r="M3" s="361"/>
      <c r="O3" s="397" t="s">
        <v>1131</v>
      </c>
      <c r="P3" s="330" t="str">
        <f>Instructions!K1</f>
        <v>220705P</v>
      </c>
      <c r="AL3" s="189"/>
      <c r="AM3" s="189"/>
      <c r="AN3" s="189"/>
      <c r="AO3" s="189"/>
      <c r="AP3" s="190"/>
      <c r="AQ3" s="190"/>
      <c r="AR3" s="190"/>
      <c r="AS3" s="190"/>
      <c r="AT3" s="190"/>
      <c r="AU3" s="190"/>
      <c r="AV3" s="190"/>
      <c r="AW3" s="185"/>
      <c r="AX3" s="185"/>
    </row>
    <row r="4" spans="1:50" ht="15.75" customHeight="1" thickBot="1" x14ac:dyDescent="0.35">
      <c r="A4" s="185"/>
      <c r="B4" s="669" t="s">
        <v>211</v>
      </c>
      <c r="C4" s="670"/>
      <c r="D4" s="671" t="str">
        <f>IF(Input!D4="","",Input!D4)</f>
        <v/>
      </c>
      <c r="E4" s="641"/>
      <c r="F4" s="641"/>
      <c r="G4" s="641"/>
      <c r="H4" s="641"/>
      <c r="I4" s="641"/>
      <c r="J4" s="641"/>
      <c r="K4" s="641"/>
      <c r="L4" s="641"/>
      <c r="M4" s="641"/>
      <c r="N4" s="641"/>
      <c r="O4" s="641"/>
      <c r="P4" s="672"/>
      <c r="R4" s="690" t="s">
        <v>211</v>
      </c>
      <c r="S4" s="691"/>
      <c r="T4" s="694" t="str">
        <f>IF(Input!D4="","",Input!D4)</f>
        <v/>
      </c>
      <c r="U4" s="695"/>
      <c r="V4" s="695"/>
      <c r="W4" s="695"/>
      <c r="X4" s="695"/>
      <c r="Y4" s="695"/>
      <c r="Z4" s="696"/>
      <c r="AB4" s="690" t="s">
        <v>211</v>
      </c>
      <c r="AC4" s="691"/>
      <c r="AD4" s="697" t="str">
        <f>IF(Input!D4="","",Input!D4)</f>
        <v/>
      </c>
      <c r="AE4" s="697"/>
      <c r="AF4" s="697"/>
      <c r="AG4" s="697"/>
      <c r="AH4" s="697"/>
      <c r="AI4" s="697"/>
      <c r="AJ4" s="698"/>
      <c r="AL4" s="690" t="s">
        <v>211</v>
      </c>
      <c r="AM4" s="691"/>
      <c r="AN4" s="694" t="str">
        <f>IF(Input!D4="","",Input!D4)</f>
        <v/>
      </c>
      <c r="AO4" s="695"/>
      <c r="AP4" s="695"/>
      <c r="AQ4" s="695"/>
      <c r="AR4" s="695"/>
      <c r="AS4" s="695"/>
      <c r="AT4" s="695"/>
      <c r="AU4" s="695"/>
      <c r="AV4" s="695"/>
      <c r="AW4" s="695"/>
      <c r="AX4" s="696"/>
    </row>
    <row r="5" spans="1:50" ht="15.75" customHeight="1" x14ac:dyDescent="0.3">
      <c r="A5" s="185"/>
      <c r="B5" s="673" t="s">
        <v>720</v>
      </c>
      <c r="C5" s="674"/>
      <c r="D5" s="675" t="str">
        <f>IF(Input!D5="","",Input!D5)</f>
        <v/>
      </c>
      <c r="E5" s="662"/>
      <c r="F5" s="662"/>
      <c r="G5" s="662"/>
      <c r="H5" s="662"/>
      <c r="I5" s="662"/>
      <c r="J5" s="662"/>
      <c r="K5" s="662"/>
      <c r="L5" s="662"/>
      <c r="M5" s="662"/>
      <c r="N5" s="662"/>
      <c r="O5" s="662"/>
      <c r="P5" s="676"/>
      <c r="AL5" s="692"/>
      <c r="AM5" s="692"/>
      <c r="AN5" s="693"/>
      <c r="AO5" s="693"/>
      <c r="AP5" s="693"/>
      <c r="AQ5" s="693"/>
      <c r="AR5" s="693"/>
      <c r="AS5" s="346"/>
      <c r="AT5" s="194"/>
      <c r="AU5" s="155"/>
      <c r="AV5" s="693"/>
      <c r="AW5" s="693"/>
      <c r="AX5" s="349"/>
    </row>
    <row r="6" spans="1:50" x14ac:dyDescent="0.3">
      <c r="A6" s="185"/>
      <c r="B6" s="673" t="s">
        <v>719</v>
      </c>
      <c r="C6" s="674"/>
      <c r="D6" s="677" t="str">
        <f>IF(Input!D6="","",Input!D6)</f>
        <v/>
      </c>
      <c r="E6" s="678"/>
      <c r="F6" s="678"/>
      <c r="G6" s="678"/>
      <c r="H6" s="678"/>
      <c r="I6" s="678"/>
      <c r="J6" s="678"/>
      <c r="K6" s="678"/>
      <c r="L6" s="678"/>
      <c r="M6" s="678"/>
      <c r="N6" s="678"/>
      <c r="O6" s="678"/>
      <c r="P6" s="679"/>
      <c r="AL6" s="692"/>
      <c r="AM6" s="692"/>
      <c r="AN6" s="693"/>
      <c r="AO6" s="693"/>
      <c r="AP6" s="693"/>
      <c r="AQ6" s="693"/>
      <c r="AR6" s="693"/>
      <c r="AS6" s="346"/>
      <c r="AT6" s="194"/>
      <c r="AU6" s="349"/>
      <c r="AV6" s="693"/>
      <c r="AW6" s="693"/>
      <c r="AX6" s="155"/>
    </row>
    <row r="7" spans="1:50" ht="15" thickBot="1" x14ac:dyDescent="0.35">
      <c r="A7" s="185"/>
      <c r="B7" s="673" t="s">
        <v>212</v>
      </c>
      <c r="C7" s="674"/>
      <c r="D7" s="675" t="str">
        <f>IF(Input!D7="","",Input!D7)</f>
        <v/>
      </c>
      <c r="E7" s="662"/>
      <c r="F7" s="662"/>
      <c r="G7" s="662"/>
      <c r="H7" s="662"/>
      <c r="I7" s="662"/>
      <c r="J7" s="662"/>
      <c r="K7" s="662"/>
      <c r="L7" s="662"/>
      <c r="M7" s="662"/>
      <c r="N7" s="662"/>
      <c r="O7" s="662"/>
      <c r="P7" s="676"/>
      <c r="AL7" s="692"/>
      <c r="AM7" s="692"/>
      <c r="AN7" s="693"/>
      <c r="AO7" s="693"/>
      <c r="AP7" s="693"/>
      <c r="AQ7" s="693"/>
      <c r="AR7" s="693"/>
      <c r="AS7" s="348"/>
      <c r="AT7" s="194"/>
      <c r="AU7" s="349"/>
      <c r="AV7" s="155"/>
      <c r="AW7" s="346"/>
      <c r="AX7" s="155"/>
    </row>
    <row r="8" spans="1:50" ht="15" thickBot="1" x14ac:dyDescent="0.35">
      <c r="A8" s="185"/>
      <c r="B8" s="658" t="s">
        <v>213</v>
      </c>
      <c r="C8" s="660"/>
      <c r="D8" s="675" t="str">
        <f>IF(Input!D8="","",Input!D8)</f>
        <v/>
      </c>
      <c r="E8" s="662"/>
      <c r="F8" s="662"/>
      <c r="G8" s="662"/>
      <c r="H8" s="662"/>
      <c r="I8" s="662"/>
      <c r="J8" s="662"/>
      <c r="K8" s="662"/>
      <c r="L8" s="662"/>
      <c r="M8" s="662"/>
      <c r="N8" s="662"/>
      <c r="O8" s="662"/>
      <c r="P8" s="676"/>
      <c r="R8" s="108" t="s">
        <v>47</v>
      </c>
      <c r="S8" s="701" t="s">
        <v>8</v>
      </c>
      <c r="T8" s="701"/>
      <c r="U8" s="701"/>
      <c r="V8" s="442" t="s">
        <v>231</v>
      </c>
      <c r="W8" s="442" t="s">
        <v>516</v>
      </c>
      <c r="X8" s="442" t="s">
        <v>233</v>
      </c>
      <c r="Y8" s="442" t="s">
        <v>48</v>
      </c>
      <c r="Z8" s="110" t="str">
        <f>IF(SUM(Z9:Z58)&gt;0,Input!J25,"")</f>
        <v/>
      </c>
      <c r="AL8" s="692"/>
      <c r="AM8" s="692"/>
      <c r="AN8" s="693"/>
      <c r="AO8" s="693"/>
      <c r="AP8" s="693"/>
      <c r="AQ8" s="693"/>
      <c r="AR8" s="693"/>
      <c r="AS8" s="346"/>
      <c r="AT8" s="194"/>
      <c r="AU8" s="350"/>
      <c r="AV8" s="196"/>
      <c r="AW8" s="346"/>
      <c r="AX8" s="155"/>
    </row>
    <row r="9" spans="1:50" x14ac:dyDescent="0.3">
      <c r="A9" s="185"/>
      <c r="B9" s="658" t="s">
        <v>214</v>
      </c>
      <c r="C9" s="660"/>
      <c r="D9" s="675" t="str">
        <f>IF(Input!D9="","",Input!D9)</f>
        <v/>
      </c>
      <c r="E9" s="662"/>
      <c r="F9" s="662"/>
      <c r="G9" s="662"/>
      <c r="H9" s="662"/>
      <c r="I9" s="662"/>
      <c r="J9" s="662"/>
      <c r="K9" s="662"/>
      <c r="L9" s="662"/>
      <c r="M9" s="662"/>
      <c r="N9" s="662"/>
      <c r="O9" s="662"/>
      <c r="P9" s="676"/>
      <c r="R9" s="444">
        <v>1</v>
      </c>
      <c r="S9" s="702" t="str">
        <f>IF(Input!C26="","",Input!C26)</f>
        <v/>
      </c>
      <c r="T9" s="702"/>
      <c r="U9" s="702"/>
      <c r="V9" s="445" t="str">
        <f>IF(Input!F26="","",Input!F26)</f>
        <v/>
      </c>
      <c r="W9" s="445" t="str">
        <f>IF(Input!G26="","",Input!G26)</f>
        <v/>
      </c>
      <c r="X9" s="446" t="str">
        <f>IF(Input!H26="","",Input!H26)</f>
        <v/>
      </c>
      <c r="Y9" s="447">
        <f>IF(Input!I26="","",Input!I26)</f>
        <v>1</v>
      </c>
      <c r="Z9" s="448" t="str">
        <f>IF(Input!J26="","",Input!J26)</f>
        <v/>
      </c>
      <c r="AL9" s="692"/>
      <c r="AM9" s="692"/>
      <c r="AN9" s="693"/>
      <c r="AO9" s="693"/>
      <c r="AP9" s="693"/>
      <c r="AQ9" s="693"/>
      <c r="AR9" s="693"/>
      <c r="AS9" s="346"/>
      <c r="AT9" s="194"/>
      <c r="AU9" s="349"/>
      <c r="AV9" s="155"/>
      <c r="AW9" s="346"/>
      <c r="AX9" s="196"/>
    </row>
    <row r="10" spans="1:50" x14ac:dyDescent="0.3">
      <c r="A10" s="185"/>
      <c r="B10" s="658" t="s">
        <v>215</v>
      </c>
      <c r="C10" s="660"/>
      <c r="D10" s="675" t="str">
        <f>IF(Input!D10="","",Input!D10)</f>
        <v/>
      </c>
      <c r="E10" s="662"/>
      <c r="F10" s="662"/>
      <c r="G10" s="662"/>
      <c r="H10" s="662"/>
      <c r="I10" s="662"/>
      <c r="J10" s="662"/>
      <c r="K10" s="662"/>
      <c r="L10" s="662"/>
      <c r="M10" s="662"/>
      <c r="N10" s="662"/>
      <c r="O10" s="662"/>
      <c r="P10" s="676"/>
      <c r="R10" s="343">
        <v>2</v>
      </c>
      <c r="S10" s="703" t="str">
        <f>IF(Input!C27="","",Input!C27)</f>
        <v/>
      </c>
      <c r="T10" s="703"/>
      <c r="U10" s="703"/>
      <c r="V10" s="406" t="str">
        <f>IF(Input!F27="","",Input!F27)</f>
        <v/>
      </c>
      <c r="W10" s="406" t="str">
        <f>IF(Input!G27="","",Input!G27)</f>
        <v/>
      </c>
      <c r="X10" s="407" t="str">
        <f>IF(Input!H27="","",Input!H27)</f>
        <v/>
      </c>
      <c r="Y10" s="443">
        <f>IF(Input!I27="","",Input!I27)</f>
        <v>1</v>
      </c>
      <c r="Z10" s="449" t="str">
        <f>IF(Input!J27="","",Input!J27)</f>
        <v/>
      </c>
      <c r="AL10" s="692"/>
      <c r="AM10" s="692"/>
      <c r="AN10" s="693"/>
      <c r="AO10" s="693"/>
      <c r="AP10" s="693"/>
      <c r="AQ10" s="693"/>
      <c r="AR10" s="693"/>
      <c r="AS10" s="346"/>
      <c r="AT10" s="194"/>
      <c r="AU10" s="349"/>
      <c r="AV10" s="155"/>
      <c r="AW10" s="699"/>
      <c r="AX10" s="700"/>
    </row>
    <row r="11" spans="1:50" x14ac:dyDescent="0.3">
      <c r="A11" s="185"/>
      <c r="B11" s="658" t="s">
        <v>216</v>
      </c>
      <c r="C11" s="660"/>
      <c r="D11" s="675" t="str">
        <f>IF(Input!D11="","",Input!D11)</f>
        <v/>
      </c>
      <c r="E11" s="662"/>
      <c r="F11" s="662"/>
      <c r="G11" s="662"/>
      <c r="H11" s="662"/>
      <c r="I11" s="662"/>
      <c r="J11" s="662"/>
      <c r="K11" s="662"/>
      <c r="L11" s="662"/>
      <c r="M11" s="662"/>
      <c r="N11" s="662"/>
      <c r="O11" s="662"/>
      <c r="P11" s="676"/>
      <c r="R11" s="343">
        <v>3</v>
      </c>
      <c r="S11" s="703" t="str">
        <f>IF(Input!C28="","",Input!C28)</f>
        <v/>
      </c>
      <c r="T11" s="703"/>
      <c r="U11" s="703"/>
      <c r="V11" s="406" t="str">
        <f>IF(Input!F28="","",Input!F28)</f>
        <v/>
      </c>
      <c r="W11" s="406" t="str">
        <f>IF(Input!G28="","",Input!G28)</f>
        <v/>
      </c>
      <c r="X11" s="407" t="str">
        <f>IF(Input!H28="","",Input!H28)</f>
        <v/>
      </c>
      <c r="Y11" s="443">
        <f>IF(Input!I28="","",Input!I28)</f>
        <v>1</v>
      </c>
      <c r="Z11" s="449" t="str">
        <f>IF(Input!J28="","",Input!J28)</f>
        <v/>
      </c>
      <c r="AL11" s="692"/>
      <c r="AM11" s="692"/>
      <c r="AN11" s="693"/>
      <c r="AO11" s="693"/>
      <c r="AP11" s="693"/>
      <c r="AQ11" s="693"/>
      <c r="AR11" s="693"/>
      <c r="AS11" s="346"/>
      <c r="AT11" s="191"/>
      <c r="AU11" s="349"/>
      <c r="AV11" s="155"/>
      <c r="AW11" s="699"/>
      <c r="AX11" s="700"/>
    </row>
    <row r="12" spans="1:50" ht="15" thickBot="1" x14ac:dyDescent="0.35">
      <c r="A12" s="185"/>
      <c r="B12" s="667" t="s">
        <v>234</v>
      </c>
      <c r="C12" s="668"/>
      <c r="D12" s="683" t="str">
        <f>IF(Input!D12="","",Input!D12)</f>
        <v/>
      </c>
      <c r="E12" s="665"/>
      <c r="F12" s="665"/>
      <c r="G12" s="665"/>
      <c r="H12" s="665"/>
      <c r="I12" s="665"/>
      <c r="J12" s="665"/>
      <c r="K12" s="665"/>
      <c r="L12" s="665"/>
      <c r="M12" s="665"/>
      <c r="N12" s="665"/>
      <c r="O12" s="665"/>
      <c r="P12" s="684"/>
      <c r="R12" s="343">
        <v>4</v>
      </c>
      <c r="S12" s="685" t="str">
        <f>IF(Input!C29="","",Input!C29)</f>
        <v/>
      </c>
      <c r="T12" s="686"/>
      <c r="U12" s="687"/>
      <c r="V12" s="406" t="str">
        <f>IF(Input!F29="","",Input!F29)</f>
        <v/>
      </c>
      <c r="W12" s="406" t="str">
        <f>IF(Input!G29="","",Input!G29)</f>
        <v/>
      </c>
      <c r="X12" s="407" t="str">
        <f>IF(Input!H29="","",Input!H29)</f>
        <v/>
      </c>
      <c r="Y12" s="443">
        <f>IF(Input!I29="","",Input!I29)</f>
        <v>1</v>
      </c>
      <c r="Z12" s="449" t="str">
        <f>IF(Input!J29="","",Input!J29)</f>
        <v/>
      </c>
      <c r="AL12" s="692"/>
      <c r="AM12" s="692"/>
      <c r="AN12" s="693"/>
      <c r="AO12" s="693"/>
      <c r="AP12" s="693"/>
      <c r="AQ12" s="693"/>
      <c r="AR12" s="693"/>
      <c r="AS12" s="346"/>
      <c r="AT12" s="194"/>
      <c r="AU12" s="351"/>
      <c r="AV12" s="194"/>
      <c r="AW12" s="346"/>
      <c r="AX12" s="198"/>
    </row>
    <row r="13" spans="1:50" ht="15" customHeight="1" thickBot="1" x14ac:dyDescent="0.35">
      <c r="A13" s="185"/>
      <c r="B13" s="189"/>
      <c r="C13" s="189"/>
      <c r="D13" s="189"/>
      <c r="E13" s="189"/>
      <c r="F13" s="189"/>
      <c r="G13" s="361"/>
      <c r="H13" s="361"/>
      <c r="I13" s="361"/>
      <c r="J13" s="361"/>
      <c r="K13" s="361"/>
      <c r="L13" s="361"/>
      <c r="M13" s="361"/>
      <c r="N13" s="362"/>
      <c r="O13" s="362"/>
      <c r="P13" s="362"/>
      <c r="R13" s="343">
        <v>5</v>
      </c>
      <c r="S13" s="685" t="str">
        <f>IF(Input!C30="","",Input!C30)</f>
        <v/>
      </c>
      <c r="T13" s="686"/>
      <c r="U13" s="687"/>
      <c r="V13" s="406" t="str">
        <f>IF(Input!F30="","",Input!F30)</f>
        <v/>
      </c>
      <c r="W13" s="406" t="str">
        <f>IF(Input!G30="","",Input!G30)</f>
        <v/>
      </c>
      <c r="X13" s="407" t="str">
        <f>IF(Input!H30="","",Input!H30)</f>
        <v/>
      </c>
      <c r="Y13" s="443">
        <f>IF(Input!I30="","",Input!I30)</f>
        <v>1</v>
      </c>
      <c r="Z13" s="449" t="str">
        <f>IF(Input!J30="","",Input!J30)</f>
        <v/>
      </c>
      <c r="AL13" s="193"/>
      <c r="AM13" s="193"/>
      <c r="AN13" s="193"/>
      <c r="AO13" s="708" t="s">
        <v>68</v>
      </c>
      <c r="AP13" s="710" t="s">
        <v>10</v>
      </c>
      <c r="AQ13" s="710" t="s">
        <v>123</v>
      </c>
      <c r="AR13" s="712" t="s">
        <v>261</v>
      </c>
      <c r="AS13" s="714"/>
      <c r="AT13" s="710" t="s">
        <v>11</v>
      </c>
      <c r="AU13" s="704" t="s">
        <v>124</v>
      </c>
      <c r="AV13" s="193"/>
      <c r="AW13" s="346"/>
      <c r="AX13" s="347"/>
    </row>
    <row r="14" spans="1:50" ht="15.75" customHeight="1" thickBot="1" x14ac:dyDescent="0.35">
      <c r="A14" s="185"/>
      <c r="B14" s="646" t="s">
        <v>594</v>
      </c>
      <c r="C14" s="647"/>
      <c r="D14" s="647"/>
      <c r="E14" s="648"/>
      <c r="F14" s="189"/>
      <c r="G14" s="649" t="str">
        <f>E15&amp;" Source Diagram"</f>
        <v>UTILITY Source Diagram</v>
      </c>
      <c r="H14" s="649"/>
      <c r="I14" s="649"/>
      <c r="J14" s="649"/>
      <c r="K14" s="361"/>
      <c r="L14" s="361"/>
      <c r="M14" s="361"/>
      <c r="N14" s="362"/>
      <c r="O14" s="362"/>
      <c r="P14" s="362"/>
      <c r="R14" s="343">
        <v>6</v>
      </c>
      <c r="S14" s="685" t="str">
        <f>IF(Input!C31="","",Input!C31)</f>
        <v/>
      </c>
      <c r="T14" s="686"/>
      <c r="U14" s="687"/>
      <c r="V14" s="406" t="str">
        <f>IF(Input!F31="","",Input!F31)</f>
        <v/>
      </c>
      <c r="W14" s="406" t="str">
        <f>IF(Input!G31="","",Input!G31)</f>
        <v/>
      </c>
      <c r="X14" s="407" t="str">
        <f>IF(Input!H31="","",Input!H31)</f>
        <v/>
      </c>
      <c r="Y14" s="443">
        <f>IF(Input!I31="","",Input!I31)</f>
        <v>1</v>
      </c>
      <c r="Z14" s="449" t="str">
        <f>IF(Input!J31="","",Input!J31)</f>
        <v/>
      </c>
      <c r="AL14" s="194"/>
      <c r="AM14" s="185"/>
      <c r="AN14" s="185"/>
      <c r="AO14" s="709"/>
      <c r="AP14" s="711"/>
      <c r="AQ14" s="711"/>
      <c r="AR14" s="713"/>
      <c r="AS14" s="715"/>
      <c r="AT14" s="711"/>
      <c r="AU14" s="705"/>
      <c r="AV14" s="185"/>
      <c r="AW14" s="185"/>
      <c r="AX14" s="185"/>
    </row>
    <row r="15" spans="1:50" ht="15" thickBot="1" x14ac:dyDescent="0.35">
      <c r="B15" s="650" t="s">
        <v>186</v>
      </c>
      <c r="C15" s="651"/>
      <c r="D15" s="651"/>
      <c r="E15" s="357" t="str">
        <f>Power!AG2</f>
        <v>UTILITY</v>
      </c>
      <c r="R15" s="343">
        <v>7</v>
      </c>
      <c r="S15" s="685" t="str">
        <f>IF(Input!C32="","",Input!C32)</f>
        <v/>
      </c>
      <c r="T15" s="686"/>
      <c r="U15" s="687"/>
      <c r="V15" s="406" t="str">
        <f>IF(Input!F32="","",Input!F32)</f>
        <v/>
      </c>
      <c r="W15" s="406" t="str">
        <f>IF(Input!G32="","",Input!G32)</f>
        <v/>
      </c>
      <c r="X15" s="407" t="str">
        <f>IF(Input!H32="","",Input!H32)</f>
        <v/>
      </c>
      <c r="Y15" s="443">
        <f>IF(Input!I32="","",Input!I32)</f>
        <v>1</v>
      </c>
      <c r="Z15" s="449" t="str">
        <f>IF(Input!J32="","",Input!J32)</f>
        <v/>
      </c>
      <c r="AL15" s="194"/>
      <c r="AM15" s="185"/>
      <c r="AN15" s="185"/>
      <c r="AO15" s="159">
        <v>1</v>
      </c>
      <c r="AP15" s="160">
        <f>Sum!BG6</f>
        <v>58.571766439527252</v>
      </c>
      <c r="AQ15" s="161">
        <f>100*AP15/AP$15</f>
        <v>100</v>
      </c>
      <c r="AR15" s="161">
        <f>HLOOKUP(L$46,IEEE!K$4:O$54,AO15+1)</f>
        <v>100</v>
      </c>
      <c r="AS15" s="450" t="str">
        <f>IF(AQ15&gt;AR15,"x","")</f>
        <v/>
      </c>
      <c r="AT15" s="161">
        <f>SQRT(3)*Sum!BH6</f>
        <v>480</v>
      </c>
      <c r="AU15" s="162">
        <f>100*AT15/AT$15</f>
        <v>100</v>
      </c>
      <c r="AV15" s="185"/>
      <c r="AW15" s="185"/>
      <c r="AX15" s="185"/>
    </row>
    <row r="16" spans="1:50" ht="15" thickBot="1" x14ac:dyDescent="0.35">
      <c r="B16" s="640" t="s">
        <v>41</v>
      </c>
      <c r="C16" s="641"/>
      <c r="D16" s="642"/>
      <c r="E16" s="184">
        <f>IF(Input!J4="","",Input!J4)</f>
        <v>60</v>
      </c>
      <c r="R16" s="343">
        <v>8</v>
      </c>
      <c r="S16" s="685" t="str">
        <f>IF(Input!C33="","",Input!C33)</f>
        <v/>
      </c>
      <c r="T16" s="686"/>
      <c r="U16" s="687"/>
      <c r="V16" s="406" t="str">
        <f>IF(Input!F33="","",Input!F33)</f>
        <v/>
      </c>
      <c r="W16" s="406" t="str">
        <f>IF(Input!G33="","",Input!G33)</f>
        <v/>
      </c>
      <c r="X16" s="407" t="str">
        <f>IF(Input!H33="","",Input!H33)</f>
        <v/>
      </c>
      <c r="Y16" s="443">
        <f>IF(Input!I33="","",Input!I33)</f>
        <v>1</v>
      </c>
      <c r="Z16" s="449" t="str">
        <f>IF(Input!J33="","",Input!J33)</f>
        <v/>
      </c>
      <c r="AL16" s="194"/>
      <c r="AM16" s="185"/>
      <c r="AN16" s="185"/>
      <c r="AO16" s="163">
        <v>2</v>
      </c>
      <c r="AP16" s="164">
        <f>Sum!BG7</f>
        <v>0</v>
      </c>
      <c r="AQ16" s="165">
        <f t="shared" ref="AQ16:AQ39" si="0">100*AP16/AP$15</f>
        <v>0</v>
      </c>
      <c r="AR16" s="165">
        <f>HLOOKUP(L$46,IEEE!K$4:O$54,AO16+1)</f>
        <v>3</v>
      </c>
      <c r="AS16" s="213" t="str">
        <f t="shared" ref="AS16:AS39" si="1">IF(AQ16&gt;AR16,"x","")</f>
        <v/>
      </c>
      <c r="AT16" s="165">
        <f>SQRT(3)*Sum!BH7</f>
        <v>0</v>
      </c>
      <c r="AU16" s="166">
        <f t="shared" ref="AU16:AU39" si="2">100*AT16/AT$15</f>
        <v>0</v>
      </c>
      <c r="AV16" s="185"/>
      <c r="AW16" s="185"/>
      <c r="AX16" s="185"/>
    </row>
    <row r="17" spans="2:50" x14ac:dyDescent="0.3">
      <c r="B17" s="661" t="str">
        <f>IF(E15="UTILITY", "Utility [V]", "")</f>
        <v>Utility [V]</v>
      </c>
      <c r="C17" s="662"/>
      <c r="D17" s="663"/>
      <c r="E17" s="341">
        <f>IF(E15="UTILITY",Power!W5,"")</f>
        <v>13800</v>
      </c>
      <c r="G17" s="652"/>
      <c r="H17" s="335"/>
      <c r="I17" s="9"/>
      <c r="J17" s="9"/>
      <c r="K17" s="9"/>
      <c r="L17" s="9"/>
      <c r="M17" s="9"/>
      <c r="N17" s="655" t="s">
        <v>659</v>
      </c>
      <c r="O17" s="335"/>
      <c r="R17" s="343">
        <v>9</v>
      </c>
      <c r="S17" s="685" t="str">
        <f>IF(Input!C34="","",Input!C34)</f>
        <v/>
      </c>
      <c r="T17" s="686"/>
      <c r="U17" s="687"/>
      <c r="V17" s="406" t="str">
        <f>IF(Input!F34="","",Input!F34)</f>
        <v/>
      </c>
      <c r="W17" s="406" t="str">
        <f>IF(Input!G34="","",Input!G34)</f>
        <v/>
      </c>
      <c r="X17" s="407" t="str">
        <f>IF(Input!H34="","",Input!H34)</f>
        <v/>
      </c>
      <c r="Y17" s="443">
        <f>IF(Input!I34="","",Input!I34)</f>
        <v>1</v>
      </c>
      <c r="Z17" s="449" t="str">
        <f>IF(Input!J34="","",Input!J34)</f>
        <v/>
      </c>
      <c r="AL17" s="194"/>
      <c r="AM17" s="185"/>
      <c r="AN17" s="185"/>
      <c r="AO17" s="163">
        <v>3</v>
      </c>
      <c r="AP17" s="164">
        <f>Sum!BG8</f>
        <v>0</v>
      </c>
      <c r="AQ17" s="165">
        <f t="shared" si="0"/>
        <v>0</v>
      </c>
      <c r="AR17" s="165">
        <f>HLOOKUP(L$46,IEEE!K$4:O$54,AO17+1)</f>
        <v>12</v>
      </c>
      <c r="AS17" s="213" t="str">
        <f t="shared" si="1"/>
        <v/>
      </c>
      <c r="AT17" s="165">
        <f>SQRT(3)*Sum!BH8</f>
        <v>0</v>
      </c>
      <c r="AU17" s="166">
        <f t="shared" si="2"/>
        <v>0</v>
      </c>
      <c r="AV17" s="185"/>
      <c r="AW17" s="185"/>
      <c r="AX17" s="185"/>
    </row>
    <row r="18" spans="2:50" ht="15" thickBot="1" x14ac:dyDescent="0.35">
      <c r="B18" s="661" t="str">
        <f>IF(E15="UTILITY","Utility [MVAsc]","")</f>
        <v>Utility [MVAsc]</v>
      </c>
      <c r="C18" s="662"/>
      <c r="D18" s="663"/>
      <c r="E18" s="340">
        <f>IF(E15="UTILITY",Power!W6,"")</f>
        <v>400</v>
      </c>
      <c r="G18" s="653"/>
      <c r="H18" s="62"/>
      <c r="I18" s="62"/>
      <c r="J18" s="62"/>
      <c r="K18" s="62"/>
      <c r="L18" s="62"/>
      <c r="M18" s="62"/>
      <c r="N18" s="656"/>
      <c r="O18" s="62"/>
      <c r="R18" s="343">
        <v>10</v>
      </c>
      <c r="S18" s="685" t="str">
        <f>IF(Input!C35="","",Input!C35)</f>
        <v/>
      </c>
      <c r="T18" s="686"/>
      <c r="U18" s="687"/>
      <c r="V18" s="406" t="str">
        <f>IF(Input!F35="","",Input!F35)</f>
        <v/>
      </c>
      <c r="W18" s="406" t="str">
        <f>IF(Input!G35="","",Input!G35)</f>
        <v/>
      </c>
      <c r="X18" s="407" t="str">
        <f>IF(Input!H35="","",Input!H35)</f>
        <v/>
      </c>
      <c r="Y18" s="443">
        <f>IF(Input!I35="","",Input!I35)</f>
        <v>1</v>
      </c>
      <c r="Z18" s="449" t="str">
        <f>IF(Input!J35="","",Input!J35)</f>
        <v/>
      </c>
      <c r="AL18" s="194"/>
      <c r="AM18" s="185"/>
      <c r="AN18" s="185"/>
      <c r="AO18" s="163">
        <v>4</v>
      </c>
      <c r="AP18" s="164">
        <f>Sum!BG9</f>
        <v>0</v>
      </c>
      <c r="AQ18" s="165">
        <f t="shared" si="0"/>
        <v>0</v>
      </c>
      <c r="AR18" s="165">
        <f>HLOOKUP(L$46,IEEE!K$4:O$54,AO18+1)</f>
        <v>3</v>
      </c>
      <c r="AS18" s="213" t="str">
        <f t="shared" si="1"/>
        <v/>
      </c>
      <c r="AT18" s="165">
        <f>SQRT(3)*Sum!BH9</f>
        <v>0</v>
      </c>
      <c r="AU18" s="166">
        <f t="shared" si="2"/>
        <v>0</v>
      </c>
      <c r="AV18" s="185"/>
      <c r="AW18" s="185"/>
      <c r="AX18" s="185"/>
    </row>
    <row r="19" spans="2:50" x14ac:dyDescent="0.3">
      <c r="B19" s="658" t="str">
        <f>IF(E15="UTILITY","Transformer ID Tag","Generator ID Tag")</f>
        <v>Transformer ID Tag</v>
      </c>
      <c r="C19" s="659"/>
      <c r="D19" s="660"/>
      <c r="E19" s="340" t="str">
        <f>IF(E15="UTILITY",IF(Input!H7="","",IF(E15="UTILITY",Input!H7,"")),IF(Input!J5="","",Input!J5))</f>
        <v/>
      </c>
      <c r="G19" s="653"/>
      <c r="H19" s="363"/>
      <c r="I19" s="10"/>
      <c r="J19" s="10"/>
      <c r="K19" s="10"/>
      <c r="L19" s="10"/>
      <c r="M19" s="363"/>
      <c r="N19" s="656"/>
      <c r="O19" s="363"/>
      <c r="R19" s="343">
        <v>11</v>
      </c>
      <c r="S19" s="685" t="str">
        <f>IF(Input!C36="","",Input!C36)</f>
        <v/>
      </c>
      <c r="T19" s="686"/>
      <c r="U19" s="687"/>
      <c r="V19" s="406" t="str">
        <f>IF(Input!F36="","",Input!F36)</f>
        <v/>
      </c>
      <c r="W19" s="406" t="str">
        <f>IF(Input!G36="","",Input!G36)</f>
        <v/>
      </c>
      <c r="X19" s="407" t="str">
        <f>IF(Input!H36="","",Input!H36)</f>
        <v/>
      </c>
      <c r="Y19" s="443">
        <f>IF(Input!I36="","",Input!I36)</f>
        <v>1</v>
      </c>
      <c r="Z19" s="449" t="str">
        <f>IF(Input!J36="","",Input!J36)</f>
        <v/>
      </c>
      <c r="AL19" s="194"/>
      <c r="AM19" s="185"/>
      <c r="AN19" s="185"/>
      <c r="AO19" s="163">
        <v>5</v>
      </c>
      <c r="AP19" s="164">
        <f>Sum!BG10</f>
        <v>0</v>
      </c>
      <c r="AQ19" s="165">
        <f t="shared" si="0"/>
        <v>0</v>
      </c>
      <c r="AR19" s="165">
        <f>HLOOKUP(L$46,IEEE!K$4:O$54,AO19+1)</f>
        <v>12</v>
      </c>
      <c r="AS19" s="213" t="str">
        <f t="shared" si="1"/>
        <v/>
      </c>
      <c r="AT19" s="165">
        <f>SQRT(3)*Sum!BH10</f>
        <v>0</v>
      </c>
      <c r="AU19" s="166">
        <f t="shared" si="2"/>
        <v>0</v>
      </c>
      <c r="AV19" s="185"/>
      <c r="AW19" s="185"/>
      <c r="AX19" s="185"/>
    </row>
    <row r="20" spans="2:50" ht="15" thickBot="1" x14ac:dyDescent="0.35">
      <c r="B20" s="661" t="str">
        <f>IF(E15="UTILITY","Rated kVA [kVA]","Rated Power [kW]")</f>
        <v>Rated kVA [kVA]</v>
      </c>
      <c r="C20" s="662"/>
      <c r="D20" s="663"/>
      <c r="E20" s="340">
        <f>IF(E15="UTILITY",Input!H8,Input!J6)</f>
        <v>2000</v>
      </c>
      <c r="G20" s="654"/>
      <c r="M20" s="335"/>
      <c r="N20" s="657"/>
      <c r="R20" s="343">
        <v>12</v>
      </c>
      <c r="S20" s="685" t="str">
        <f>IF(Input!C37="","",Input!C37)</f>
        <v/>
      </c>
      <c r="T20" s="686"/>
      <c r="U20" s="687"/>
      <c r="V20" s="406" t="str">
        <f>IF(Input!F37="","",Input!F37)</f>
        <v/>
      </c>
      <c r="W20" s="406" t="str">
        <f>IF(Input!G37="","",Input!G37)</f>
        <v/>
      </c>
      <c r="X20" s="407" t="str">
        <f>IF(Input!H37="","",Input!H37)</f>
        <v/>
      </c>
      <c r="Y20" s="443">
        <f>IF(Input!I37="","",Input!I37)</f>
        <v>1</v>
      </c>
      <c r="Z20" s="449" t="str">
        <f>IF(Input!J37="","",Input!J37)</f>
        <v/>
      </c>
      <c r="AL20" s="194"/>
      <c r="AM20" s="185"/>
      <c r="AN20" s="185"/>
      <c r="AO20" s="163">
        <v>6</v>
      </c>
      <c r="AP20" s="164">
        <f>Sum!BG11</f>
        <v>0</v>
      </c>
      <c r="AQ20" s="165">
        <f t="shared" si="0"/>
        <v>0</v>
      </c>
      <c r="AR20" s="165">
        <f>HLOOKUP(L$46,IEEE!K$4:O$54,AO20+1)</f>
        <v>3</v>
      </c>
      <c r="AS20" s="213" t="str">
        <f t="shared" si="1"/>
        <v/>
      </c>
      <c r="AT20" s="165">
        <f>SQRT(3)*Sum!BH11</f>
        <v>0</v>
      </c>
      <c r="AU20" s="166">
        <f t="shared" si="2"/>
        <v>0</v>
      </c>
      <c r="AV20" s="185"/>
      <c r="AW20" s="185"/>
      <c r="AX20" s="185"/>
    </row>
    <row r="21" spans="2:50" x14ac:dyDescent="0.3">
      <c r="B21" s="661" t="str">
        <f>IF(E15="UTILITY","Secondary Voltage [V]","Power Factor")</f>
        <v>Secondary Voltage [V]</v>
      </c>
      <c r="C21" s="662"/>
      <c r="D21" s="663"/>
      <c r="E21" s="485">
        <f>IF(E15="UTILITY",Input!H9,Input!J7)</f>
        <v>480</v>
      </c>
      <c r="M21" s="335"/>
      <c r="R21" s="343">
        <v>13</v>
      </c>
      <c r="S21" s="685" t="str">
        <f>IF(Input!C38="","",Input!C38)</f>
        <v/>
      </c>
      <c r="T21" s="686"/>
      <c r="U21" s="687"/>
      <c r="V21" s="406" t="str">
        <f>IF(Input!F38="","",Input!F38)</f>
        <v/>
      </c>
      <c r="W21" s="406" t="str">
        <f>IF(Input!G38="","",Input!G38)</f>
        <v/>
      </c>
      <c r="X21" s="407" t="str">
        <f>IF(Input!H38="","",Input!H38)</f>
        <v/>
      </c>
      <c r="Y21" s="443">
        <f>IF(Input!I38="","",Input!I38)</f>
        <v>1</v>
      </c>
      <c r="Z21" s="449" t="str">
        <f>IF(Input!J38="","",Input!J38)</f>
        <v/>
      </c>
      <c r="AL21" s="194"/>
      <c r="AM21" s="185"/>
      <c r="AN21" s="185"/>
      <c r="AO21" s="163">
        <v>7</v>
      </c>
      <c r="AP21" s="164">
        <f>Sum!BG12</f>
        <v>0</v>
      </c>
      <c r="AQ21" s="165">
        <f t="shared" si="0"/>
        <v>0</v>
      </c>
      <c r="AR21" s="165">
        <f>HLOOKUP(L$46,IEEE!K$4:O$54,AO21+1)</f>
        <v>12</v>
      </c>
      <c r="AS21" s="213" t="str">
        <f t="shared" si="1"/>
        <v/>
      </c>
      <c r="AT21" s="165">
        <f>SQRT(3)*Sum!BH12</f>
        <v>0</v>
      </c>
      <c r="AU21" s="166">
        <f t="shared" si="2"/>
        <v>0</v>
      </c>
      <c r="AV21" s="185"/>
      <c r="AW21" s="185"/>
      <c r="AX21" s="185"/>
    </row>
    <row r="22" spans="2:50" ht="15.6" x14ac:dyDescent="0.3">
      <c r="B22" s="661" t="str">
        <f>IF(E15="UTILITY","Impedance [% Z]","Apparent Power [kVA]")</f>
        <v>Impedance [% Z]</v>
      </c>
      <c r="C22" s="662"/>
      <c r="D22" s="663"/>
      <c r="E22" s="340">
        <f>IF(E15="UTILITY",Input!H10,Input!J8)</f>
        <v>5.75</v>
      </c>
      <c r="G22" s="17" t="str">
        <f>IF(A1=100,"","Utility")</f>
        <v>Utility</v>
      </c>
      <c r="J22" s="364" t="str">
        <f>IF(A1=100,"                         Generator","Transformer")</f>
        <v>Transformer</v>
      </c>
      <c r="M22" s="335"/>
      <c r="N22" s="364" t="s">
        <v>660</v>
      </c>
      <c r="R22" s="343">
        <v>14</v>
      </c>
      <c r="S22" s="685" t="str">
        <f>IF(Input!C39="","",Input!C39)</f>
        <v/>
      </c>
      <c r="T22" s="686"/>
      <c r="U22" s="687"/>
      <c r="V22" s="406" t="str">
        <f>IF(Input!F39="","",Input!F39)</f>
        <v/>
      </c>
      <c r="W22" s="406" t="str">
        <f>IF(Input!G39="","",Input!G39)</f>
        <v/>
      </c>
      <c r="X22" s="407" t="str">
        <f>IF(Input!H39="","",Input!H39)</f>
        <v/>
      </c>
      <c r="Y22" s="443">
        <f>IF(Input!I39="","",Input!I39)</f>
        <v>1</v>
      </c>
      <c r="Z22" s="449" t="str">
        <f>IF(Input!J39="","",Input!J39)</f>
        <v/>
      </c>
      <c r="AL22" s="194"/>
      <c r="AM22" s="185"/>
      <c r="AN22" s="185"/>
      <c r="AO22" s="163">
        <v>8</v>
      </c>
      <c r="AP22" s="164">
        <f>Sum!BG13</f>
        <v>0</v>
      </c>
      <c r="AQ22" s="165">
        <f t="shared" si="0"/>
        <v>0</v>
      </c>
      <c r="AR22" s="165">
        <f>HLOOKUP(L$46,IEEE!K$4:O$54,AO22+1)</f>
        <v>3</v>
      </c>
      <c r="AS22" s="213" t="str">
        <f t="shared" si="1"/>
        <v/>
      </c>
      <c r="AT22" s="165">
        <f>SQRT(3)*Sum!BH13</f>
        <v>0</v>
      </c>
      <c r="AU22" s="166">
        <f t="shared" si="2"/>
        <v>0</v>
      </c>
      <c r="AV22" s="185"/>
      <c r="AW22" s="185"/>
      <c r="AX22" s="185"/>
    </row>
    <row r="23" spans="2:50" ht="15" thickBot="1" x14ac:dyDescent="0.35">
      <c r="B23" s="661" t="str">
        <f>IF(E15="UTILITY","","Output Voltage [V]")</f>
        <v/>
      </c>
      <c r="C23" s="662"/>
      <c r="D23" s="663"/>
      <c r="E23" s="340" t="str">
        <f>IF(E15="UTILITY","",Input!J9)</f>
        <v/>
      </c>
      <c r="K23" s="365"/>
      <c r="L23" s="365"/>
      <c r="M23" s="335"/>
      <c r="R23" s="343">
        <v>15</v>
      </c>
      <c r="S23" s="685" t="str">
        <f>IF(Input!C40="","",Input!C40)</f>
        <v/>
      </c>
      <c r="T23" s="686"/>
      <c r="U23" s="687"/>
      <c r="V23" s="406" t="str">
        <f>IF(Input!F40="","",Input!F40)</f>
        <v/>
      </c>
      <c r="W23" s="406" t="str">
        <f>IF(Input!G40="","",Input!G40)</f>
        <v/>
      </c>
      <c r="X23" s="407" t="str">
        <f>IF(Input!H40="","",Input!H40)</f>
        <v/>
      </c>
      <c r="Y23" s="443">
        <f>IF(Input!I40="","",Input!I40)</f>
        <v>1</v>
      </c>
      <c r="Z23" s="449" t="str">
        <f>IF(Input!J40="","",Input!J40)</f>
        <v/>
      </c>
      <c r="AL23" s="194"/>
      <c r="AM23" s="185"/>
      <c r="AN23" s="185"/>
      <c r="AO23" s="163">
        <v>9</v>
      </c>
      <c r="AP23" s="164">
        <f>Sum!BG14</f>
        <v>0</v>
      </c>
      <c r="AQ23" s="165">
        <f t="shared" si="0"/>
        <v>0</v>
      </c>
      <c r="AR23" s="165">
        <f>HLOOKUP(L$46,IEEE!K$4:O$54,AO23+1)</f>
        <v>12</v>
      </c>
      <c r="AS23" s="213" t="str">
        <f t="shared" si="1"/>
        <v/>
      </c>
      <c r="AT23" s="165">
        <f>SQRT(3)*Sum!BH14</f>
        <v>0</v>
      </c>
      <c r="AU23" s="166">
        <f t="shared" si="2"/>
        <v>0</v>
      </c>
      <c r="AV23" s="185"/>
      <c r="AW23" s="185"/>
      <c r="AX23" s="185"/>
    </row>
    <row r="24" spans="2:50" x14ac:dyDescent="0.3">
      <c r="B24" s="661" t="str">
        <f>IF(E15="UTILITY","","Generator Impedance [Xd'']")</f>
        <v/>
      </c>
      <c r="C24" s="662"/>
      <c r="D24" s="663"/>
      <c r="E24" s="484" t="str">
        <f>IF(E15="UTILITY","",Input!J10)</f>
        <v/>
      </c>
      <c r="H24" s="352" t="str">
        <f>IF(A1=100,"","XFMR Pri")</f>
        <v>XFMR Pri</v>
      </c>
      <c r="I24" s="352"/>
      <c r="L24" s="1" t="str">
        <f>IF(A1=100,"GEN Bus","XFMR Sec")</f>
        <v>XFMR Sec</v>
      </c>
      <c r="M24" s="335"/>
      <c r="N24" s="637" t="s">
        <v>661</v>
      </c>
      <c r="R24" s="343">
        <v>16</v>
      </c>
      <c r="S24" s="685" t="str">
        <f>IF(Input!C41="","",Input!C41)</f>
        <v/>
      </c>
      <c r="T24" s="686"/>
      <c r="U24" s="687"/>
      <c r="V24" s="406" t="str">
        <f>IF(Input!F41="","",Input!F41)</f>
        <v/>
      </c>
      <c r="W24" s="406" t="str">
        <f>IF(Input!G41="","",Input!G41)</f>
        <v/>
      </c>
      <c r="X24" s="407" t="str">
        <f>IF(Input!H41="","",Input!H41)</f>
        <v/>
      </c>
      <c r="Y24" s="443">
        <f>IF(Input!I41="","",Input!I41)</f>
        <v>1</v>
      </c>
      <c r="Z24" s="449" t="str">
        <f>IF(Input!J41="","",Input!J41)</f>
        <v/>
      </c>
      <c r="AL24" s="194"/>
      <c r="AM24" s="185"/>
      <c r="AN24" s="185"/>
      <c r="AO24" s="163">
        <v>10</v>
      </c>
      <c r="AP24" s="164">
        <f>Sum!BG15</f>
        <v>0</v>
      </c>
      <c r="AQ24" s="165">
        <f t="shared" si="0"/>
        <v>0</v>
      </c>
      <c r="AR24" s="165">
        <f>HLOOKUP(L$46,IEEE!K$4:O$54,AO24+1)</f>
        <v>3</v>
      </c>
      <c r="AS24" s="213" t="str">
        <f t="shared" si="1"/>
        <v/>
      </c>
      <c r="AT24" s="165">
        <f>SQRT(3)*Sum!BH15</f>
        <v>0</v>
      </c>
      <c r="AU24" s="166">
        <f t="shared" si="2"/>
        <v>0</v>
      </c>
      <c r="AV24" s="185"/>
      <c r="AW24" s="185"/>
      <c r="AX24" s="185"/>
    </row>
    <row r="25" spans="2:50" ht="15" thickBot="1" x14ac:dyDescent="0.35">
      <c r="B25" s="664" t="str">
        <f>Input!G11</f>
        <v>PCC for Vthd</v>
      </c>
      <c r="C25" s="665"/>
      <c r="D25" s="666"/>
      <c r="E25" s="516" t="str">
        <f>IF(E15="GENERATOR","GEN Bus","XFMR Sec")</f>
        <v>XFMR Sec</v>
      </c>
      <c r="M25" s="64"/>
      <c r="N25" s="638"/>
      <c r="R25" s="343">
        <v>17</v>
      </c>
      <c r="S25" s="685" t="str">
        <f>IF(Input!C42="","",Input!C42)</f>
        <v/>
      </c>
      <c r="T25" s="686"/>
      <c r="U25" s="687"/>
      <c r="V25" s="406" t="str">
        <f>IF(Input!F42="","",Input!F42)</f>
        <v/>
      </c>
      <c r="W25" s="406" t="str">
        <f>IF(Input!G42="","",Input!G42)</f>
        <v/>
      </c>
      <c r="X25" s="407" t="str">
        <f>IF(Input!H42="","",Input!H42)</f>
        <v/>
      </c>
      <c r="Y25" s="443">
        <f>IF(Input!I42="","",Input!I42)</f>
        <v>1</v>
      </c>
      <c r="Z25" s="449" t="str">
        <f>IF(Input!J42="","",Input!J42)</f>
        <v/>
      </c>
      <c r="AL25" s="194"/>
      <c r="AM25" s="185"/>
      <c r="AN25" s="185"/>
      <c r="AO25" s="163">
        <v>11</v>
      </c>
      <c r="AP25" s="164">
        <f>Sum!BG16</f>
        <v>0</v>
      </c>
      <c r="AQ25" s="165">
        <f t="shared" si="0"/>
        <v>0</v>
      </c>
      <c r="AR25" s="165">
        <f>HLOOKUP(L$46,IEEE!K$4:O$54,AO25+1)</f>
        <v>5.5</v>
      </c>
      <c r="AS25" s="213" t="str">
        <f t="shared" si="1"/>
        <v/>
      </c>
      <c r="AT25" s="165">
        <f>SQRT(3)*Sum!BH16</f>
        <v>0</v>
      </c>
      <c r="AU25" s="166">
        <f t="shared" si="2"/>
        <v>0</v>
      </c>
      <c r="AV25" s="185"/>
      <c r="AW25" s="185"/>
      <c r="AX25" s="185"/>
    </row>
    <row r="26" spans="2:50" x14ac:dyDescent="0.3">
      <c r="B26" s="640" t="s">
        <v>595</v>
      </c>
      <c r="C26" s="641"/>
      <c r="D26" s="642"/>
      <c r="E26" s="342">
        <f>Power!AF32</f>
        <v>399.99999999999994</v>
      </c>
      <c r="N26" s="638"/>
      <c r="R26" s="343">
        <v>18</v>
      </c>
      <c r="S26" s="685" t="str">
        <f>IF(Input!C43="","",Input!C43)</f>
        <v/>
      </c>
      <c r="T26" s="686"/>
      <c r="U26" s="687"/>
      <c r="V26" s="406" t="str">
        <f>IF(Input!F43="","",Input!F43)</f>
        <v/>
      </c>
      <c r="W26" s="406" t="str">
        <f>IF(Input!G43="","",Input!G43)</f>
        <v/>
      </c>
      <c r="X26" s="407" t="str">
        <f>IF(Input!H43="","",Input!H43)</f>
        <v/>
      </c>
      <c r="Y26" s="443">
        <f>IF(Input!I43="","",Input!I43)</f>
        <v>1</v>
      </c>
      <c r="Z26" s="449" t="str">
        <f>IF(Input!J43="","",Input!J43)</f>
        <v/>
      </c>
      <c r="AL26" s="194"/>
      <c r="AM26" s="185"/>
      <c r="AN26" s="185"/>
      <c r="AO26" s="163">
        <v>12</v>
      </c>
      <c r="AP26" s="164">
        <f>Sum!BG17</f>
        <v>0</v>
      </c>
      <c r="AQ26" s="165">
        <f t="shared" si="0"/>
        <v>0</v>
      </c>
      <c r="AR26" s="165">
        <f>HLOOKUP(L$46,IEEE!K$4:O$54,AO26+1)</f>
        <v>1.375</v>
      </c>
      <c r="AS26" s="213" t="str">
        <f t="shared" si="1"/>
        <v/>
      </c>
      <c r="AT26" s="165">
        <f>SQRT(3)*Sum!BH17</f>
        <v>0</v>
      </c>
      <c r="AU26" s="166">
        <f t="shared" si="2"/>
        <v>0</v>
      </c>
      <c r="AV26" s="185"/>
      <c r="AW26" s="185"/>
      <c r="AX26" s="185"/>
    </row>
    <row r="27" spans="2:50" ht="15" thickBot="1" x14ac:dyDescent="0.35">
      <c r="B27" s="583" t="s">
        <v>266</v>
      </c>
      <c r="C27" s="584"/>
      <c r="D27" s="585"/>
      <c r="E27" s="339">
        <f>Power!AF31</f>
        <v>16.734790411293499</v>
      </c>
      <c r="N27" s="639"/>
      <c r="R27" s="343">
        <v>19</v>
      </c>
      <c r="S27" s="685" t="str">
        <f>IF(Input!C44="","",Input!C44)</f>
        <v/>
      </c>
      <c r="T27" s="686"/>
      <c r="U27" s="687"/>
      <c r="V27" s="406" t="str">
        <f>IF(Input!F44="","",Input!F44)</f>
        <v/>
      </c>
      <c r="W27" s="406" t="str">
        <f>IF(Input!G44="","",Input!G44)</f>
        <v/>
      </c>
      <c r="X27" s="407" t="str">
        <f>IF(Input!H44="","",Input!H44)</f>
        <v/>
      </c>
      <c r="Y27" s="443">
        <f>IF(Input!I44="","",Input!I44)</f>
        <v>1</v>
      </c>
      <c r="Z27" s="449" t="str">
        <f>IF(Input!J44="","",Input!J44)</f>
        <v/>
      </c>
      <c r="AL27" s="194"/>
      <c r="AM27" s="185"/>
      <c r="AN27" s="185"/>
      <c r="AO27" s="163">
        <v>13</v>
      </c>
      <c r="AP27" s="164">
        <f>Sum!BG18</f>
        <v>0</v>
      </c>
      <c r="AQ27" s="165">
        <f t="shared" si="0"/>
        <v>0</v>
      </c>
      <c r="AR27" s="165">
        <f>HLOOKUP(L$46,IEEE!K$4:O$54,AO27+1)</f>
        <v>5.5</v>
      </c>
      <c r="AS27" s="213" t="str">
        <f t="shared" si="1"/>
        <v/>
      </c>
      <c r="AT27" s="165">
        <f>SQRT(3)*Sum!BH18</f>
        <v>0</v>
      </c>
      <c r="AU27" s="166">
        <f t="shared" si="2"/>
        <v>0</v>
      </c>
      <c r="AV27" s="185"/>
      <c r="AW27" s="185"/>
      <c r="AX27" s="185"/>
    </row>
    <row r="28" spans="2:50" ht="15" thickBot="1" x14ac:dyDescent="0.35">
      <c r="B28" s="643"/>
      <c r="C28" s="644"/>
      <c r="D28" s="645"/>
      <c r="E28" s="262"/>
      <c r="R28" s="343">
        <v>20</v>
      </c>
      <c r="S28" s="685" t="str">
        <f>IF(Input!C45="","",Input!C45)</f>
        <v/>
      </c>
      <c r="T28" s="686"/>
      <c r="U28" s="687"/>
      <c r="V28" s="406" t="str">
        <f>IF(Input!F45="","",Input!F45)</f>
        <v/>
      </c>
      <c r="W28" s="406" t="str">
        <f>IF(Input!G45="","",Input!G45)</f>
        <v/>
      </c>
      <c r="X28" s="407" t="str">
        <f>IF(Input!H45="","",Input!H45)</f>
        <v/>
      </c>
      <c r="Y28" s="443">
        <f>IF(Input!I45="","",Input!I45)</f>
        <v>1</v>
      </c>
      <c r="Z28" s="449" t="str">
        <f>IF(Input!J45="","",Input!J45)</f>
        <v/>
      </c>
      <c r="AL28" s="194"/>
      <c r="AM28" s="185"/>
      <c r="AN28" s="185"/>
      <c r="AO28" s="163">
        <v>14</v>
      </c>
      <c r="AP28" s="164">
        <f>Sum!BG19</f>
        <v>0</v>
      </c>
      <c r="AQ28" s="165">
        <f t="shared" si="0"/>
        <v>0</v>
      </c>
      <c r="AR28" s="165">
        <f>HLOOKUP(L$46,IEEE!K$4:O$54,AO28+1)</f>
        <v>1.375</v>
      </c>
      <c r="AS28" s="213" t="str">
        <f t="shared" si="1"/>
        <v/>
      </c>
      <c r="AT28" s="165">
        <f>SQRT(3)*Sum!BH19</f>
        <v>0</v>
      </c>
      <c r="AU28" s="166">
        <f t="shared" si="2"/>
        <v>0</v>
      </c>
      <c r="AV28" s="185"/>
      <c r="AW28" s="185"/>
      <c r="AX28" s="185"/>
    </row>
    <row r="29" spans="2:50" ht="15" thickBot="1" x14ac:dyDescent="0.35">
      <c r="R29" s="343">
        <v>21</v>
      </c>
      <c r="S29" s="685" t="str">
        <f>IF(Input!C46="","",Input!C46)</f>
        <v/>
      </c>
      <c r="T29" s="686"/>
      <c r="U29" s="687"/>
      <c r="V29" s="406" t="str">
        <f>IF(Input!F46="","",Input!F46)</f>
        <v/>
      </c>
      <c r="W29" s="406" t="str">
        <f>IF(Input!G46="","",Input!G46)</f>
        <v/>
      </c>
      <c r="X29" s="407" t="str">
        <f>IF(Input!H46="","",Input!H46)</f>
        <v/>
      </c>
      <c r="Y29" s="443">
        <f>IF(Input!I46="","",Input!I46)</f>
        <v>1</v>
      </c>
      <c r="Z29" s="449" t="str">
        <f>IF(Input!J46="","",Input!J46)</f>
        <v/>
      </c>
      <c r="AL29" s="194"/>
      <c r="AM29" s="185"/>
      <c r="AN29" s="185"/>
      <c r="AO29" s="163">
        <v>15</v>
      </c>
      <c r="AP29" s="164">
        <f>Sum!BG20</f>
        <v>0</v>
      </c>
      <c r="AQ29" s="165">
        <f t="shared" si="0"/>
        <v>0</v>
      </c>
      <c r="AR29" s="165">
        <f>HLOOKUP(L$46,IEEE!K$4:O$54,AO29+1)</f>
        <v>5.5</v>
      </c>
      <c r="AS29" s="213" t="str">
        <f t="shared" si="1"/>
        <v/>
      </c>
      <c r="AT29" s="165">
        <f>SQRT(3)*Sum!BH20</f>
        <v>0</v>
      </c>
      <c r="AU29" s="166">
        <f t="shared" si="2"/>
        <v>0</v>
      </c>
      <c r="AV29" s="185"/>
      <c r="AW29" s="185"/>
      <c r="AX29" s="185"/>
    </row>
    <row r="30" spans="2:50" ht="15" thickBot="1" x14ac:dyDescent="0.35">
      <c r="B30" s="716" t="s">
        <v>596</v>
      </c>
      <c r="C30" s="717"/>
      <c r="D30" s="717"/>
      <c r="E30" s="717"/>
      <c r="F30" s="717"/>
      <c r="G30" s="718"/>
      <c r="H30" s="429"/>
      <c r="I30" s="721" t="s">
        <v>647</v>
      </c>
      <c r="J30" s="722"/>
      <c r="K30" s="722"/>
      <c r="L30" s="722"/>
      <c r="M30" s="722"/>
      <c r="N30" s="722"/>
      <c r="O30" s="722"/>
      <c r="P30" s="723"/>
      <c r="R30" s="343">
        <v>22</v>
      </c>
      <c r="S30" s="685" t="str">
        <f>IF(Input!C47="","",Input!C47)</f>
        <v/>
      </c>
      <c r="T30" s="686"/>
      <c r="U30" s="687"/>
      <c r="V30" s="406" t="str">
        <f>IF(Input!F47="","",Input!F47)</f>
        <v/>
      </c>
      <c r="W30" s="406" t="str">
        <f>IF(Input!G47="","",Input!G47)</f>
        <v/>
      </c>
      <c r="X30" s="407" t="str">
        <f>IF(Input!H47="","",Input!H47)</f>
        <v/>
      </c>
      <c r="Y30" s="443">
        <f>IF(Input!I47="","",Input!I47)</f>
        <v>1</v>
      </c>
      <c r="Z30" s="449" t="str">
        <f>IF(Input!J47="","",Input!J47)</f>
        <v/>
      </c>
      <c r="AL30" s="194"/>
      <c r="AM30" s="185"/>
      <c r="AN30" s="185"/>
      <c r="AO30" s="163">
        <v>16</v>
      </c>
      <c r="AP30" s="164">
        <f>Sum!BG21</f>
        <v>0</v>
      </c>
      <c r="AQ30" s="165">
        <f t="shared" si="0"/>
        <v>0</v>
      </c>
      <c r="AR30" s="165">
        <f>HLOOKUP(L$46,IEEE!K$4:O$54,AO30+1)</f>
        <v>1.375</v>
      </c>
      <c r="AS30" s="213" t="str">
        <f t="shared" si="1"/>
        <v/>
      </c>
      <c r="AT30" s="165">
        <f>SQRT(3)*Sum!BH21</f>
        <v>0</v>
      </c>
      <c r="AU30" s="166">
        <f t="shared" si="2"/>
        <v>0</v>
      </c>
      <c r="AV30" s="185"/>
      <c r="AW30" s="185"/>
      <c r="AX30" s="185"/>
    </row>
    <row r="31" spans="2:50" x14ac:dyDescent="0.3">
      <c r="B31" s="733" t="s">
        <v>51</v>
      </c>
      <c r="C31" s="734"/>
      <c r="D31" s="734"/>
      <c r="E31" s="486" t="s">
        <v>967</v>
      </c>
      <c r="F31" s="513" t="s">
        <v>176</v>
      </c>
      <c r="G31" s="63"/>
      <c r="H31" s="9"/>
      <c r="I31" s="437" t="str">
        <f>Input!Q5</f>
        <v>No power limits exceeded</v>
      </c>
      <c r="J31" s="10"/>
      <c r="K31" s="10"/>
      <c r="L31" s="10"/>
      <c r="M31" s="10"/>
      <c r="N31" s="10"/>
      <c r="O31" s="10"/>
      <c r="P31" s="63"/>
      <c r="R31" s="343">
        <v>23</v>
      </c>
      <c r="S31" s="685" t="str">
        <f>IF(Input!C48="","",Input!C48)</f>
        <v/>
      </c>
      <c r="T31" s="686"/>
      <c r="U31" s="687"/>
      <c r="V31" s="406" t="str">
        <f>IF(Input!F48="","",Input!F48)</f>
        <v/>
      </c>
      <c r="W31" s="406" t="str">
        <f>IF(Input!G48="","",Input!G48)</f>
        <v/>
      </c>
      <c r="X31" s="407" t="str">
        <f>IF(Input!H48="","",Input!H48)</f>
        <v/>
      </c>
      <c r="Y31" s="443">
        <f>IF(Input!I48="","",Input!I48)</f>
        <v>1</v>
      </c>
      <c r="Z31" s="449" t="str">
        <f>IF(Input!J48="","",Input!J48)</f>
        <v/>
      </c>
      <c r="AL31" s="194"/>
      <c r="AM31" s="185"/>
      <c r="AN31" s="185"/>
      <c r="AO31" s="163">
        <v>17</v>
      </c>
      <c r="AP31" s="164">
        <f>Sum!BG22</f>
        <v>0</v>
      </c>
      <c r="AQ31" s="165">
        <f t="shared" si="0"/>
        <v>0</v>
      </c>
      <c r="AR31" s="165">
        <f>HLOOKUP(L$46,IEEE!K$4:O$54,AO31+1)</f>
        <v>5</v>
      </c>
      <c r="AS31" s="213" t="str">
        <f t="shared" si="1"/>
        <v/>
      </c>
      <c r="AT31" s="165">
        <f>SQRT(3)*Sum!BH22</f>
        <v>0</v>
      </c>
      <c r="AU31" s="166">
        <f t="shared" si="2"/>
        <v>0</v>
      </c>
      <c r="AV31" s="185"/>
      <c r="AW31" s="185"/>
      <c r="AX31" s="185"/>
    </row>
    <row r="32" spans="2:50" x14ac:dyDescent="0.3">
      <c r="B32" s="125" t="str">
        <f>Drives!O52</f>
        <v>Total HP motor loads [hp]</v>
      </c>
      <c r="C32" s="12"/>
      <c r="D32" s="12"/>
      <c r="E32" s="240">
        <f>Drives!P52</f>
        <v>0</v>
      </c>
      <c r="F32" s="475">
        <f>Drives!Q52</f>
        <v>0.85</v>
      </c>
      <c r="G32" s="55"/>
      <c r="H32" s="9"/>
      <c r="I32" s="358" t="str">
        <f>Input!P6</f>
        <v/>
      </c>
      <c r="J32" s="9"/>
      <c r="K32" s="9"/>
      <c r="L32" s="9"/>
      <c r="M32" s="9"/>
      <c r="N32" s="9"/>
      <c r="O32" s="9"/>
      <c r="P32" s="55"/>
      <c r="R32" s="343">
        <v>24</v>
      </c>
      <c r="S32" s="685" t="str">
        <f>IF(Input!C49="","",Input!C49)</f>
        <v/>
      </c>
      <c r="T32" s="686"/>
      <c r="U32" s="687"/>
      <c r="V32" s="406" t="str">
        <f>IF(Input!F49="","",Input!F49)</f>
        <v/>
      </c>
      <c r="W32" s="406" t="str">
        <f>IF(Input!G49="","",Input!G49)</f>
        <v/>
      </c>
      <c r="X32" s="407" t="str">
        <f>IF(Input!H49="","",Input!H49)</f>
        <v/>
      </c>
      <c r="Y32" s="443">
        <f>IF(Input!I49="","",Input!I49)</f>
        <v>1</v>
      </c>
      <c r="Z32" s="449" t="str">
        <f>IF(Input!J49="","",Input!J49)</f>
        <v/>
      </c>
      <c r="AL32" s="194"/>
      <c r="AM32" s="185"/>
      <c r="AN32" s="185"/>
      <c r="AO32" s="163">
        <v>18</v>
      </c>
      <c r="AP32" s="164">
        <f>Sum!BG23</f>
        <v>0</v>
      </c>
      <c r="AQ32" s="165">
        <f t="shared" si="0"/>
        <v>0</v>
      </c>
      <c r="AR32" s="165">
        <f>HLOOKUP(L$46,IEEE!K$4:O$54,AO32+1)</f>
        <v>1.25</v>
      </c>
      <c r="AS32" s="213" t="str">
        <f t="shared" si="1"/>
        <v/>
      </c>
      <c r="AT32" s="165">
        <f>SQRT(3)*Sum!BH23</f>
        <v>0</v>
      </c>
      <c r="AU32" s="166">
        <f t="shared" si="2"/>
        <v>0</v>
      </c>
      <c r="AV32" s="185"/>
      <c r="AW32" s="185"/>
      <c r="AX32" s="185"/>
    </row>
    <row r="33" spans="2:50" x14ac:dyDescent="0.3">
      <c r="B33" s="125" t="str">
        <f>Drives!O53</f>
        <v>Total kW resistive loads [kW]</v>
      </c>
      <c r="C33" s="12"/>
      <c r="D33" s="12"/>
      <c r="E33" s="240">
        <f>Drives!P53</f>
        <v>0</v>
      </c>
      <c r="F33" s="229">
        <f>Drives!Q53</f>
        <v>1</v>
      </c>
      <c r="G33" s="55"/>
      <c r="H33" s="9"/>
      <c r="I33" s="358" t="str">
        <f>Input!P7</f>
        <v/>
      </c>
      <c r="J33" s="9"/>
      <c r="K33" s="9"/>
      <c r="L33" s="9"/>
      <c r="M33" s="9"/>
      <c r="N33" s="9"/>
      <c r="O33" s="9"/>
      <c r="P33" s="55"/>
      <c r="R33" s="343">
        <v>25</v>
      </c>
      <c r="S33" s="685" t="str">
        <f>IF(Input!C50="","",Input!C50)</f>
        <v/>
      </c>
      <c r="T33" s="686"/>
      <c r="U33" s="687"/>
      <c r="V33" s="406" t="str">
        <f>IF(Input!F50="","",Input!F50)</f>
        <v/>
      </c>
      <c r="W33" s="406" t="str">
        <f>IF(Input!G50="","",Input!G50)</f>
        <v/>
      </c>
      <c r="X33" s="407" t="str">
        <f>IF(Input!H50="","",Input!H50)</f>
        <v/>
      </c>
      <c r="Y33" s="443">
        <f>IF(Input!I50="","",Input!I50)</f>
        <v>1</v>
      </c>
      <c r="Z33" s="449" t="str">
        <f>IF(Input!J50="","",Input!J50)</f>
        <v/>
      </c>
      <c r="AL33" s="194"/>
      <c r="AM33" s="185"/>
      <c r="AN33" s="185"/>
      <c r="AO33" s="163">
        <v>19</v>
      </c>
      <c r="AP33" s="164">
        <f>Sum!BG24</f>
        <v>0</v>
      </c>
      <c r="AQ33" s="165">
        <f t="shared" si="0"/>
        <v>0</v>
      </c>
      <c r="AR33" s="165">
        <f>HLOOKUP(L$46,IEEE!K$4:O$54,AO33+1)</f>
        <v>5</v>
      </c>
      <c r="AS33" s="213" t="str">
        <f t="shared" si="1"/>
        <v/>
      </c>
      <c r="AT33" s="165">
        <f>SQRT(3)*Sum!BH24</f>
        <v>0</v>
      </c>
      <c r="AU33" s="166">
        <f t="shared" si="2"/>
        <v>0</v>
      </c>
      <c r="AV33" s="185"/>
      <c r="AW33" s="185"/>
      <c r="AX33" s="185"/>
    </row>
    <row r="34" spans="2:50" x14ac:dyDescent="0.3">
      <c r="B34" s="515" t="s">
        <v>1085</v>
      </c>
      <c r="C34" s="292"/>
      <c r="D34" s="514"/>
      <c r="E34" s="240">
        <f>Drives!P54</f>
        <v>0</v>
      </c>
      <c r="F34" s="229">
        <f>Drives!Q54</f>
        <v>0.9</v>
      </c>
      <c r="G34" s="55"/>
      <c r="H34" s="9"/>
      <c r="I34" s="358" t="str">
        <f>Input!P8</f>
        <v/>
      </c>
      <c r="J34" s="9"/>
      <c r="K34" s="9"/>
      <c r="L34" s="9"/>
      <c r="M34" s="9"/>
      <c r="N34" s="9"/>
      <c r="O34" s="9"/>
      <c r="P34" s="55"/>
      <c r="R34" s="343">
        <v>26</v>
      </c>
      <c r="S34" s="685" t="str">
        <f>IF(Input!C51="","",Input!C51)</f>
        <v/>
      </c>
      <c r="T34" s="686"/>
      <c r="U34" s="687"/>
      <c r="V34" s="406" t="str">
        <f>IF(Input!F51="","",Input!F51)</f>
        <v/>
      </c>
      <c r="W34" s="406" t="str">
        <f>IF(Input!G51="","",Input!G51)</f>
        <v/>
      </c>
      <c r="X34" s="407" t="str">
        <f>IF(Input!H51="","",Input!H51)</f>
        <v/>
      </c>
      <c r="Y34" s="443">
        <f>IF(Input!I51="","",Input!I51)</f>
        <v>1</v>
      </c>
      <c r="Z34" s="449" t="str">
        <f>IF(Input!J51="","",Input!J51)</f>
        <v/>
      </c>
      <c r="AL34" s="194"/>
      <c r="AM34" s="185"/>
      <c r="AN34" s="185"/>
      <c r="AO34" s="163">
        <v>20</v>
      </c>
      <c r="AP34" s="164">
        <f>Sum!BG25</f>
        <v>0</v>
      </c>
      <c r="AQ34" s="165">
        <f t="shared" si="0"/>
        <v>0</v>
      </c>
      <c r="AR34" s="165">
        <f>HLOOKUP(L$46,IEEE!K$4:O$54,AO34+1)</f>
        <v>1.25</v>
      </c>
      <c r="AS34" s="213" t="str">
        <f t="shared" si="1"/>
        <v/>
      </c>
      <c r="AT34" s="165">
        <f>SQRT(3)*Sum!BH25</f>
        <v>0</v>
      </c>
      <c r="AU34" s="166">
        <f t="shared" si="2"/>
        <v>0</v>
      </c>
      <c r="AV34" s="185"/>
      <c r="AW34" s="185"/>
      <c r="AX34" s="185"/>
    </row>
    <row r="35" spans="2:50" x14ac:dyDescent="0.3">
      <c r="B35" s="125" t="str">
        <f>Drives!O55</f>
        <v>Total ampere loads [A]</v>
      </c>
      <c r="C35" s="12"/>
      <c r="D35" s="12"/>
      <c r="E35" s="240">
        <f>Drives!P55</f>
        <v>0</v>
      </c>
      <c r="F35" s="229">
        <f>Drives!Q55</f>
        <v>0.9</v>
      </c>
      <c r="G35" s="480" t="str">
        <f>IF(Drives!N19="UTILITY","kVA","kW")</f>
        <v>kVA</v>
      </c>
      <c r="H35" s="9"/>
      <c r="I35" s="358" t="str">
        <f>Input!P9</f>
        <v/>
      </c>
      <c r="J35" s="9"/>
      <c r="K35" s="9"/>
      <c r="L35" s="9"/>
      <c r="M35" s="9"/>
      <c r="N35" s="9"/>
      <c r="O35" s="9"/>
      <c r="P35" s="55"/>
      <c r="R35" s="343">
        <v>27</v>
      </c>
      <c r="S35" s="685" t="str">
        <f>IF(Input!C52="","",Input!C52)</f>
        <v/>
      </c>
      <c r="T35" s="686"/>
      <c r="U35" s="687"/>
      <c r="V35" s="406" t="str">
        <f>IF(Input!F52="","",Input!F52)</f>
        <v/>
      </c>
      <c r="W35" s="406" t="str">
        <f>IF(Input!G52="","",Input!G52)</f>
        <v/>
      </c>
      <c r="X35" s="407" t="str">
        <f>IF(Input!H52="","",Input!H52)</f>
        <v/>
      </c>
      <c r="Y35" s="443">
        <f>IF(Input!I52="","",Input!I52)</f>
        <v>1</v>
      </c>
      <c r="Z35" s="449" t="str">
        <f>IF(Input!J52="","",Input!J52)</f>
        <v/>
      </c>
      <c r="AL35" s="194"/>
      <c r="AM35" s="185"/>
      <c r="AN35" s="185"/>
      <c r="AO35" s="163">
        <v>21</v>
      </c>
      <c r="AP35" s="164">
        <f>Sum!BG26</f>
        <v>0</v>
      </c>
      <c r="AQ35" s="165">
        <f t="shared" si="0"/>
        <v>0</v>
      </c>
      <c r="AR35" s="165">
        <f>HLOOKUP(L$46,IEEE!K$4:O$54,AO35+1)</f>
        <v>5</v>
      </c>
      <c r="AS35" s="213" t="str">
        <f t="shared" si="1"/>
        <v/>
      </c>
      <c r="AT35" s="165">
        <f>SQRT(3)*Sum!BH26</f>
        <v>0</v>
      </c>
      <c r="AU35" s="166">
        <f t="shared" si="2"/>
        <v>0</v>
      </c>
      <c r="AV35" s="185"/>
      <c r="AW35" s="185"/>
      <c r="AX35" s="185"/>
    </row>
    <row r="36" spans="2:50" ht="15" customHeight="1" thickBot="1" x14ac:dyDescent="0.35">
      <c r="B36" s="583" t="str">
        <f>IF(Drives!N19="UTILITY",Drives!O56,"")</f>
        <v>MAX % kVA loading of xfmr [%]</v>
      </c>
      <c r="C36" s="584"/>
      <c r="D36" s="585"/>
      <c r="E36" s="240">
        <f>IF(Drives!N33="No",0,IF(Drives!N19="UTILITY",Drives!P56,""))</f>
        <v>70</v>
      </c>
      <c r="F36" s="229">
        <f>IF(Drives!N19="UTILITY",Drives!Q56,"")</f>
        <v>0.9</v>
      </c>
      <c r="G36" s="483">
        <f>IF(Drives!N19="UTILITY",Power!AG55,"")</f>
        <v>1400</v>
      </c>
      <c r="I36" s="438" t="str">
        <f>Input!P10</f>
        <v/>
      </c>
      <c r="J36" s="62"/>
      <c r="K36" s="62"/>
      <c r="L36" s="62"/>
      <c r="M36" s="62"/>
      <c r="N36" s="62"/>
      <c r="O36" s="62"/>
      <c r="P36" s="65"/>
      <c r="R36" s="343">
        <v>28</v>
      </c>
      <c r="S36" s="685" t="str">
        <f>IF(Input!C53="","",Input!C53)</f>
        <v/>
      </c>
      <c r="T36" s="686"/>
      <c r="U36" s="687"/>
      <c r="V36" s="406" t="str">
        <f>IF(Input!F53="","",Input!F53)</f>
        <v/>
      </c>
      <c r="W36" s="406" t="str">
        <f>IF(Input!G53="","",Input!G53)</f>
        <v/>
      </c>
      <c r="X36" s="407" t="str">
        <f>IF(Input!H53="","",Input!H53)</f>
        <v/>
      </c>
      <c r="Y36" s="443">
        <f>IF(Input!I53="","",Input!I53)</f>
        <v>1</v>
      </c>
      <c r="Z36" s="449" t="str">
        <f>IF(Input!J53="","",Input!J53)</f>
        <v/>
      </c>
      <c r="AL36" s="194"/>
      <c r="AM36" s="185"/>
      <c r="AN36" s="185"/>
      <c r="AO36" s="163">
        <v>22</v>
      </c>
      <c r="AP36" s="164">
        <f>Sum!BG27</f>
        <v>0</v>
      </c>
      <c r="AQ36" s="165">
        <f t="shared" si="0"/>
        <v>0</v>
      </c>
      <c r="AR36" s="165">
        <f>HLOOKUP(L$46,IEEE!K$4:O$54,AO36+1)</f>
        <v>1.25</v>
      </c>
      <c r="AS36" s="213" t="str">
        <f t="shared" si="1"/>
        <v/>
      </c>
      <c r="AT36" s="165">
        <f>SQRT(3)*Sum!BH27</f>
        <v>0</v>
      </c>
      <c r="AU36" s="166">
        <f t="shared" si="2"/>
        <v>0</v>
      </c>
      <c r="AV36" s="185"/>
      <c r="AW36" s="185"/>
      <c r="AX36" s="185"/>
    </row>
    <row r="37" spans="2:50" ht="15" thickBot="1" x14ac:dyDescent="0.35">
      <c r="B37" s="586" t="str">
        <f>IF(Drives!N19="UTILITY","",Drives!O57)</f>
        <v/>
      </c>
      <c r="C37" s="587"/>
      <c r="D37" s="587"/>
      <c r="E37" s="493" t="str">
        <f>IF(Drives!N33="No",0,IF(Drives!N19="UTILITY","",Drives!P57))</f>
        <v/>
      </c>
      <c r="F37" s="492" t="str">
        <f>IF(Drives!N19="UTILITY","",Drives!Q57)</f>
        <v/>
      </c>
      <c r="G37" s="494" t="str">
        <f>IF(Drives!N19="GENERATOR",Power!AG55,"")</f>
        <v/>
      </c>
      <c r="R37" s="343">
        <v>29</v>
      </c>
      <c r="S37" s="685" t="str">
        <f>IF(Input!C54="","",Input!C54)</f>
        <v/>
      </c>
      <c r="T37" s="686"/>
      <c r="U37" s="687"/>
      <c r="V37" s="406" t="str">
        <f>IF(Input!F54="","",Input!F54)</f>
        <v/>
      </c>
      <c r="W37" s="406" t="str">
        <f>IF(Input!G54="","",Input!G54)</f>
        <v/>
      </c>
      <c r="X37" s="407" t="str">
        <f>IF(Input!H54="","",Input!H54)</f>
        <v/>
      </c>
      <c r="Y37" s="443">
        <f>IF(Input!I54="","",Input!I54)</f>
        <v>1</v>
      </c>
      <c r="Z37" s="449" t="str">
        <f>IF(Input!J54="","",Input!J54)</f>
        <v/>
      </c>
      <c r="AL37" s="194"/>
      <c r="AM37" s="185"/>
      <c r="AN37" s="185"/>
      <c r="AO37" s="163">
        <v>23</v>
      </c>
      <c r="AP37" s="164">
        <f>Sum!BG28</f>
        <v>0</v>
      </c>
      <c r="AQ37" s="165">
        <f t="shared" si="0"/>
        <v>0</v>
      </c>
      <c r="AR37" s="165">
        <f>HLOOKUP(L$46,IEEE!K$4:O$54,AO37+1)</f>
        <v>2</v>
      </c>
      <c r="AS37" s="213" t="str">
        <f t="shared" si="1"/>
        <v/>
      </c>
      <c r="AT37" s="165">
        <f>SQRT(3)*Sum!BH28</f>
        <v>0</v>
      </c>
      <c r="AU37" s="166">
        <f t="shared" si="2"/>
        <v>0</v>
      </c>
      <c r="AV37" s="185"/>
      <c r="AW37" s="185"/>
      <c r="AX37" s="185"/>
    </row>
    <row r="38" spans="2:50" ht="15" customHeight="1" x14ac:dyDescent="0.3">
      <c r="B38" s="719"/>
      <c r="C38" s="720"/>
      <c r="D38" s="479" t="s">
        <v>0</v>
      </c>
      <c r="E38" s="479" t="str">
        <f>IF(Input!H4="UTILITY","% rated kVA","% rated kW")</f>
        <v>% rated kVA</v>
      </c>
      <c r="F38" s="479" t="s">
        <v>18</v>
      </c>
      <c r="G38" s="480" t="s">
        <v>137</v>
      </c>
      <c r="R38" s="343">
        <v>30</v>
      </c>
      <c r="S38" s="685" t="str">
        <f>IF(Input!C55="","",Input!C55)</f>
        <v/>
      </c>
      <c r="T38" s="686"/>
      <c r="U38" s="687"/>
      <c r="V38" s="406" t="str">
        <f>IF(Input!F55="","",Input!F55)</f>
        <v/>
      </c>
      <c r="W38" s="406" t="str">
        <f>IF(Input!G55="","",Input!G55)</f>
        <v/>
      </c>
      <c r="X38" s="407" t="str">
        <f>IF(Input!H55="","",Input!H55)</f>
        <v/>
      </c>
      <c r="Y38" s="443">
        <f>IF(Input!I55="","",Input!I55)</f>
        <v>1</v>
      </c>
      <c r="Z38" s="449" t="str">
        <f>IF(Input!J55="","",Input!J55)</f>
        <v/>
      </c>
      <c r="AL38" s="194"/>
      <c r="AM38" s="185"/>
      <c r="AN38" s="185"/>
      <c r="AO38" s="163">
        <v>24</v>
      </c>
      <c r="AP38" s="164">
        <f>Sum!BG29</f>
        <v>0</v>
      </c>
      <c r="AQ38" s="165">
        <f t="shared" si="0"/>
        <v>0</v>
      </c>
      <c r="AR38" s="165">
        <f>HLOOKUP(L$46,IEEE!K$4:O$54,AO38+1)</f>
        <v>0.5</v>
      </c>
      <c r="AS38" s="213" t="str">
        <f t="shared" si="1"/>
        <v/>
      </c>
      <c r="AT38" s="165">
        <f>SQRT(3)*Sum!BH29</f>
        <v>0</v>
      </c>
      <c r="AU38" s="166">
        <f t="shared" si="2"/>
        <v>0</v>
      </c>
      <c r="AV38" s="185"/>
      <c r="AW38" s="185"/>
      <c r="AX38" s="185"/>
    </row>
    <row r="39" spans="2:50" ht="15" customHeight="1" thickBot="1" x14ac:dyDescent="0.35">
      <c r="B39" s="588" t="s">
        <v>980</v>
      </c>
      <c r="C39" s="589"/>
      <c r="D39" s="481">
        <f>Power!AG52</f>
        <v>1400</v>
      </c>
      <c r="E39" s="481">
        <f>Power!AF39</f>
        <v>70</v>
      </c>
      <c r="F39" s="481">
        <f>Power!AG53</f>
        <v>1260</v>
      </c>
      <c r="G39" s="487">
        <f>Power!AG51</f>
        <v>58.571766439527252</v>
      </c>
      <c r="R39" s="343">
        <v>31</v>
      </c>
      <c r="S39" s="685" t="str">
        <f>IF(Input!C56="","",Input!C56)</f>
        <v/>
      </c>
      <c r="T39" s="686"/>
      <c r="U39" s="687"/>
      <c r="V39" s="406" t="str">
        <f>IF(Input!F56="","",Input!F56)</f>
        <v/>
      </c>
      <c r="W39" s="406" t="str">
        <f>IF(Input!G56="","",Input!G56)</f>
        <v/>
      </c>
      <c r="X39" s="407" t="str">
        <f>IF(Input!H56="","",Input!H56)</f>
        <v/>
      </c>
      <c r="Y39" s="443">
        <f>IF(Input!I56="","",Input!I56)</f>
        <v>1</v>
      </c>
      <c r="Z39" s="449" t="str">
        <f>IF(Input!J56="","",Input!J56)</f>
        <v/>
      </c>
      <c r="AL39" s="194"/>
      <c r="AM39" s="185"/>
      <c r="AN39" s="185"/>
      <c r="AO39" s="163">
        <v>25</v>
      </c>
      <c r="AP39" s="164">
        <f>Sum!BG30</f>
        <v>0</v>
      </c>
      <c r="AQ39" s="165">
        <f t="shared" si="0"/>
        <v>0</v>
      </c>
      <c r="AR39" s="165">
        <f>HLOOKUP(L$46,IEEE!K$4:O$54,AO39+1)</f>
        <v>2</v>
      </c>
      <c r="AS39" s="213" t="str">
        <f t="shared" si="1"/>
        <v/>
      </c>
      <c r="AT39" s="165">
        <f>SQRT(3)*Sum!BH30</f>
        <v>0</v>
      </c>
      <c r="AU39" s="166">
        <f t="shared" si="2"/>
        <v>0</v>
      </c>
      <c r="AV39" s="185"/>
      <c r="AW39" s="185"/>
      <c r="AX39" s="185"/>
    </row>
    <row r="40" spans="2:50" ht="15" customHeight="1" thickBot="1" x14ac:dyDescent="0.35">
      <c r="R40" s="343">
        <v>32</v>
      </c>
      <c r="S40" s="685" t="str">
        <f>IF(Input!C57="","",Input!C57)</f>
        <v/>
      </c>
      <c r="T40" s="686"/>
      <c r="U40" s="687"/>
      <c r="V40" s="406" t="str">
        <f>IF(Input!F57="","",Input!F57)</f>
        <v/>
      </c>
      <c r="W40" s="406" t="str">
        <f>IF(Input!G57="","",Input!G57)</f>
        <v/>
      </c>
      <c r="X40" s="407" t="str">
        <f>IF(Input!H57="","",Input!H57)</f>
        <v/>
      </c>
      <c r="Y40" s="443">
        <f>IF(Input!I57="","",Input!I57)</f>
        <v>1</v>
      </c>
      <c r="Z40" s="449" t="str">
        <f>IF(Input!J57="","",Input!J57)</f>
        <v/>
      </c>
      <c r="AL40" s="194"/>
      <c r="AM40" s="185"/>
      <c r="AN40" s="185"/>
      <c r="AO40" s="163">
        <v>26</v>
      </c>
      <c r="AP40" s="164">
        <f>Sum!BG31</f>
        <v>0</v>
      </c>
      <c r="AQ40" s="165">
        <f t="shared" ref="AQ40:AQ64" si="3">100*AP40/AP$15</f>
        <v>0</v>
      </c>
      <c r="AR40" s="165">
        <f>HLOOKUP(L$46,IEEE!K$4:O$54,AO40+1)</f>
        <v>0.5</v>
      </c>
      <c r="AS40" s="213" t="str">
        <f t="shared" ref="AS40:AS64" si="4">IF(AQ40&gt;AR40,"x","")</f>
        <v/>
      </c>
      <c r="AT40" s="165">
        <f>SQRT(3)*Sum!BH31</f>
        <v>0</v>
      </c>
      <c r="AU40" s="166">
        <f t="shared" ref="AU40:AU64" si="5">100*AT40/AT$15</f>
        <v>0</v>
      </c>
      <c r="AV40" s="185"/>
      <c r="AW40" s="185"/>
      <c r="AX40" s="185"/>
    </row>
    <row r="41" spans="2:50" ht="15" customHeight="1" thickBot="1" x14ac:dyDescent="0.35">
      <c r="B41" s="476" t="s">
        <v>653</v>
      </c>
      <c r="C41" s="477"/>
      <c r="D41" s="477"/>
      <c r="E41" s="478"/>
      <c r="F41" s="602" t="s">
        <v>646</v>
      </c>
      <c r="G41" s="603"/>
      <c r="H41" s="603"/>
      <c r="I41" s="603"/>
      <c r="J41" s="603"/>
      <c r="K41" s="603"/>
      <c r="L41" s="603"/>
      <c r="M41" s="603"/>
      <c r="N41" s="603"/>
      <c r="O41" s="603"/>
      <c r="P41" s="604"/>
      <c r="R41" s="343">
        <v>33</v>
      </c>
      <c r="S41" s="685" t="str">
        <f>IF(Input!C58="","",Input!C58)</f>
        <v/>
      </c>
      <c r="T41" s="686"/>
      <c r="U41" s="687"/>
      <c r="V41" s="406" t="str">
        <f>IF(Input!F58="","",Input!F58)</f>
        <v/>
      </c>
      <c r="W41" s="406" t="str">
        <f>IF(Input!G58="","",Input!G58)</f>
        <v/>
      </c>
      <c r="X41" s="407" t="str">
        <f>IF(Input!H58="","",Input!H58)</f>
        <v/>
      </c>
      <c r="Y41" s="443">
        <f>IF(Input!I58="","",Input!I58)</f>
        <v>1</v>
      </c>
      <c r="Z41" s="449" t="str">
        <f>IF(Input!J58="","",Input!J58)</f>
        <v/>
      </c>
      <c r="AL41" s="194"/>
      <c r="AM41" s="185"/>
      <c r="AN41" s="185"/>
      <c r="AO41" s="163">
        <v>27</v>
      </c>
      <c r="AP41" s="164">
        <f>Sum!BG32</f>
        <v>0</v>
      </c>
      <c r="AQ41" s="165">
        <f t="shared" si="3"/>
        <v>0</v>
      </c>
      <c r="AR41" s="165">
        <f>HLOOKUP(L$46,IEEE!K$4:O$54,AO41+1)</f>
        <v>2</v>
      </c>
      <c r="AS41" s="213" t="str">
        <f t="shared" si="4"/>
        <v/>
      </c>
      <c r="AT41" s="165">
        <f>SQRT(3)*Sum!BH32</f>
        <v>0</v>
      </c>
      <c r="AU41" s="166">
        <f t="shared" si="5"/>
        <v>0</v>
      </c>
      <c r="AV41" s="185"/>
      <c r="AW41" s="185"/>
      <c r="AX41" s="185"/>
    </row>
    <row r="42" spans="2:50" ht="15" customHeight="1" x14ac:dyDescent="0.3">
      <c r="B42" s="611"/>
      <c r="C42" s="612"/>
      <c r="D42" s="612"/>
      <c r="E42" s="613"/>
      <c r="F42" s="605" t="s">
        <v>879</v>
      </c>
      <c r="G42" s="606"/>
      <c r="H42" s="606"/>
      <c r="I42" s="606"/>
      <c r="J42" s="606"/>
      <c r="K42" s="606"/>
      <c r="L42" s="607"/>
      <c r="M42" s="593" t="str">
        <f>IF(Power!AF35="PASS",'Qual Notes'!C17,'Qual Notes'!C18)</f>
        <v>ABB is pleased to inform you that the harmonic analysis shows that the system meets the IEEE 519-2014 Total Demand Distortion (TDD) limit at the PCC.</v>
      </c>
      <c r="N42" s="594"/>
      <c r="O42" s="594"/>
      <c r="P42" s="595"/>
      <c r="R42" s="343">
        <v>34</v>
      </c>
      <c r="S42" s="685" t="str">
        <f>IF(Input!C59="","",Input!C59)</f>
        <v/>
      </c>
      <c r="T42" s="686"/>
      <c r="U42" s="687"/>
      <c r="V42" s="406" t="str">
        <f>IF(Input!F59="","",Input!F59)</f>
        <v/>
      </c>
      <c r="W42" s="406" t="str">
        <f>IF(Input!G59="","",Input!G59)</f>
        <v/>
      </c>
      <c r="X42" s="407" t="str">
        <f>IF(Input!H59="","",Input!H59)</f>
        <v/>
      </c>
      <c r="Y42" s="443">
        <f>IF(Input!I59="","",Input!I59)</f>
        <v>1</v>
      </c>
      <c r="Z42" s="449" t="str">
        <f>IF(Input!J59="","",Input!J59)</f>
        <v/>
      </c>
      <c r="AL42" s="194"/>
      <c r="AM42" s="185"/>
      <c r="AN42" s="185"/>
      <c r="AO42" s="163">
        <v>28</v>
      </c>
      <c r="AP42" s="164">
        <f>Sum!BG33</f>
        <v>0</v>
      </c>
      <c r="AQ42" s="165">
        <f t="shared" si="3"/>
        <v>0</v>
      </c>
      <c r="AR42" s="165">
        <f>HLOOKUP(L$46,IEEE!K$4:O$54,AO42+1)</f>
        <v>0.5</v>
      </c>
      <c r="AS42" s="213" t="str">
        <f t="shared" si="4"/>
        <v/>
      </c>
      <c r="AT42" s="165">
        <f>SQRT(3)*Sum!BH33</f>
        <v>0</v>
      </c>
      <c r="AU42" s="166">
        <f t="shared" si="5"/>
        <v>0</v>
      </c>
      <c r="AV42" s="185"/>
      <c r="AW42" s="185"/>
      <c r="AX42" s="185"/>
    </row>
    <row r="43" spans="2:50" ht="15" customHeight="1" x14ac:dyDescent="0.3">
      <c r="B43" s="614"/>
      <c r="C43" s="615"/>
      <c r="D43" s="615"/>
      <c r="E43" s="616"/>
      <c r="F43" s="608"/>
      <c r="G43" s="609"/>
      <c r="H43" s="609"/>
      <c r="I43" s="609"/>
      <c r="J43" s="609"/>
      <c r="K43" s="609"/>
      <c r="L43" s="610"/>
      <c r="M43" s="596"/>
      <c r="N43" s="597"/>
      <c r="O43" s="597"/>
      <c r="P43" s="598"/>
      <c r="R43" s="343">
        <v>35</v>
      </c>
      <c r="S43" s="685" t="str">
        <f>IF(Input!C60="","",Input!C60)</f>
        <v/>
      </c>
      <c r="T43" s="686"/>
      <c r="U43" s="687"/>
      <c r="V43" s="406" t="str">
        <f>IF(Input!F60="","",Input!F60)</f>
        <v/>
      </c>
      <c r="W43" s="406" t="str">
        <f>IF(Input!G60="","",Input!G60)</f>
        <v/>
      </c>
      <c r="X43" s="407" t="str">
        <f>IF(Input!H60="","",Input!H60)</f>
        <v/>
      </c>
      <c r="Y43" s="443">
        <f>IF(Input!I60="","",Input!I60)</f>
        <v>1</v>
      </c>
      <c r="Z43" s="449" t="str">
        <f>IF(Input!J60="","",Input!J60)</f>
        <v/>
      </c>
      <c r="AL43" s="194"/>
      <c r="AM43" s="185"/>
      <c r="AN43" s="185"/>
      <c r="AO43" s="163">
        <v>29</v>
      </c>
      <c r="AP43" s="164">
        <f>Sum!BG34</f>
        <v>0</v>
      </c>
      <c r="AQ43" s="165">
        <f t="shared" si="3"/>
        <v>0</v>
      </c>
      <c r="AR43" s="165">
        <f>HLOOKUP(L$46,IEEE!K$4:O$54,AO43+1)</f>
        <v>2</v>
      </c>
      <c r="AS43" s="213" t="str">
        <f t="shared" si="4"/>
        <v/>
      </c>
      <c r="AT43" s="165">
        <f>SQRT(3)*Sum!BH34</f>
        <v>0</v>
      </c>
      <c r="AU43" s="166">
        <f t="shared" si="5"/>
        <v>0</v>
      </c>
      <c r="AV43" s="185"/>
      <c r="AW43" s="185"/>
      <c r="AX43" s="185"/>
    </row>
    <row r="44" spans="2:50" ht="15" customHeight="1" x14ac:dyDescent="0.3">
      <c r="B44" s="628" t="s">
        <v>648</v>
      </c>
      <c r="C44" s="629"/>
      <c r="D44" s="630"/>
      <c r="E44" s="626" t="str">
        <f>IF(Power!AG12="XFMR Pri","XFMR Primary",IF(Power!AG12="XFMR Sec","XFMR Secondary","GEN Bus"))</f>
        <v>XFMR Primary</v>
      </c>
      <c r="F44" s="617" t="s">
        <v>651</v>
      </c>
      <c r="G44" s="618"/>
      <c r="H44" s="618"/>
      <c r="I44" s="618"/>
      <c r="J44" s="618"/>
      <c r="K44" s="619"/>
      <c r="L44" s="752">
        <f>Power!AF29/100</f>
        <v>0</v>
      </c>
      <c r="M44" s="596"/>
      <c r="N44" s="597"/>
      <c r="O44" s="597"/>
      <c r="P44" s="598"/>
      <c r="R44" s="343">
        <v>36</v>
      </c>
      <c r="S44" s="685" t="str">
        <f>IF(Input!C61="","",Input!C61)</f>
        <v/>
      </c>
      <c r="T44" s="686"/>
      <c r="U44" s="687"/>
      <c r="V44" s="406" t="str">
        <f>IF(Input!F61="","",Input!F61)</f>
        <v/>
      </c>
      <c r="W44" s="406" t="str">
        <f>IF(Input!G61="","",Input!G61)</f>
        <v/>
      </c>
      <c r="X44" s="407" t="str">
        <f>IF(Input!H61="","",Input!H61)</f>
        <v/>
      </c>
      <c r="Y44" s="443">
        <f>IF(Input!I61="","",Input!I61)</f>
        <v>1</v>
      </c>
      <c r="Z44" s="449" t="str">
        <f>IF(Input!J61="","",Input!J61)</f>
        <v/>
      </c>
      <c r="AL44" s="194"/>
      <c r="AM44" s="185"/>
      <c r="AN44" s="185"/>
      <c r="AO44" s="163">
        <v>30</v>
      </c>
      <c r="AP44" s="164">
        <f>Sum!BG35</f>
        <v>0</v>
      </c>
      <c r="AQ44" s="165">
        <f t="shared" si="3"/>
        <v>0</v>
      </c>
      <c r="AR44" s="165">
        <f>HLOOKUP(L$46,IEEE!K$4:O$54,AO44+1)</f>
        <v>0.5</v>
      </c>
      <c r="AS44" s="213" t="str">
        <f t="shared" si="4"/>
        <v/>
      </c>
      <c r="AT44" s="165">
        <f>SQRT(3)*Sum!BH35</f>
        <v>0</v>
      </c>
      <c r="AU44" s="166">
        <f t="shared" si="5"/>
        <v>0</v>
      </c>
      <c r="AV44" s="185"/>
      <c r="AW44" s="185"/>
      <c r="AX44" s="185"/>
    </row>
    <row r="45" spans="2:50" ht="15" customHeight="1" x14ac:dyDescent="0.3">
      <c r="B45" s="634"/>
      <c r="C45" s="635"/>
      <c r="D45" s="636"/>
      <c r="E45" s="627"/>
      <c r="F45" s="621"/>
      <c r="G45" s="622"/>
      <c r="H45" s="622"/>
      <c r="I45" s="622"/>
      <c r="J45" s="622"/>
      <c r="K45" s="623"/>
      <c r="L45" s="753"/>
      <c r="M45" s="596"/>
      <c r="N45" s="597"/>
      <c r="O45" s="597"/>
      <c r="P45" s="598"/>
      <c r="R45" s="343">
        <v>37</v>
      </c>
      <c r="S45" s="685" t="str">
        <f>IF(Input!C62="","",Input!C62)</f>
        <v/>
      </c>
      <c r="T45" s="686"/>
      <c r="U45" s="687"/>
      <c r="V45" s="406" t="str">
        <f>IF(Input!F62="","",Input!F62)</f>
        <v/>
      </c>
      <c r="W45" s="406" t="str">
        <f>IF(Input!G62="","",Input!G62)</f>
        <v/>
      </c>
      <c r="X45" s="407" t="str">
        <f>IF(Input!H62="","",Input!H62)</f>
        <v/>
      </c>
      <c r="Y45" s="443">
        <f>IF(Input!I62="","",Input!I62)</f>
        <v>1</v>
      </c>
      <c r="Z45" s="449" t="str">
        <f>IF(Input!J62="","",Input!J62)</f>
        <v/>
      </c>
      <c r="AL45" s="194"/>
      <c r="AM45" s="185"/>
      <c r="AN45" s="185"/>
      <c r="AO45" s="163">
        <v>31</v>
      </c>
      <c r="AP45" s="164">
        <f>Sum!BG36</f>
        <v>0</v>
      </c>
      <c r="AQ45" s="165">
        <f t="shared" si="3"/>
        <v>0</v>
      </c>
      <c r="AR45" s="165">
        <f>HLOOKUP(L$46,IEEE!K$4:O$54,AO45+1)</f>
        <v>2</v>
      </c>
      <c r="AS45" s="213" t="str">
        <f t="shared" si="4"/>
        <v/>
      </c>
      <c r="AT45" s="165">
        <f>SQRT(3)*Sum!BH36</f>
        <v>0</v>
      </c>
      <c r="AU45" s="166">
        <f t="shared" si="5"/>
        <v>0</v>
      </c>
      <c r="AV45" s="185"/>
      <c r="AW45" s="185"/>
      <c r="AX45" s="185"/>
    </row>
    <row r="46" spans="2:50" ht="15" customHeight="1" x14ac:dyDescent="0.3">
      <c r="B46" s="628" t="s">
        <v>259</v>
      </c>
      <c r="C46" s="629"/>
      <c r="D46" s="630"/>
      <c r="E46" s="624">
        <f>Power!AF33</f>
        <v>285.71428571428567</v>
      </c>
      <c r="F46" s="617" t="s">
        <v>654</v>
      </c>
      <c r="G46" s="618"/>
      <c r="H46" s="618"/>
      <c r="I46" s="618"/>
      <c r="J46" s="618"/>
      <c r="K46" s="619"/>
      <c r="L46" s="752">
        <f>Power!AF34/100</f>
        <v>0.15</v>
      </c>
      <c r="M46" s="596"/>
      <c r="N46" s="597"/>
      <c r="O46" s="597"/>
      <c r="P46" s="598"/>
      <c r="R46" s="343">
        <v>38</v>
      </c>
      <c r="S46" s="685" t="str">
        <f>IF(Input!C63="","",Input!C63)</f>
        <v/>
      </c>
      <c r="T46" s="686"/>
      <c r="U46" s="687"/>
      <c r="V46" s="406" t="str">
        <f>IF(Input!F63="","",Input!F63)</f>
        <v/>
      </c>
      <c r="W46" s="406" t="str">
        <f>IF(Input!G63="","",Input!G63)</f>
        <v/>
      </c>
      <c r="X46" s="407" t="str">
        <f>IF(Input!H63="","",Input!H63)</f>
        <v/>
      </c>
      <c r="Y46" s="443">
        <f>IF(Input!I63="","",Input!I63)</f>
        <v>1</v>
      </c>
      <c r="Z46" s="449" t="str">
        <f>IF(Input!J63="","",Input!J63)</f>
        <v/>
      </c>
      <c r="AL46" s="194"/>
      <c r="AM46" s="185"/>
      <c r="AN46" s="185"/>
      <c r="AO46" s="163">
        <v>32</v>
      </c>
      <c r="AP46" s="164">
        <f>Sum!BG37</f>
        <v>0</v>
      </c>
      <c r="AQ46" s="165">
        <f t="shared" si="3"/>
        <v>0</v>
      </c>
      <c r="AR46" s="165">
        <f>HLOOKUP(L$46,IEEE!K$4:O$54,AO46+1)</f>
        <v>0.5</v>
      </c>
      <c r="AS46" s="213" t="str">
        <f t="shared" si="4"/>
        <v/>
      </c>
      <c r="AT46" s="165">
        <f>SQRT(3)*Sum!BH37</f>
        <v>0</v>
      </c>
      <c r="AU46" s="166">
        <f t="shared" si="5"/>
        <v>0</v>
      </c>
      <c r="AV46" s="185"/>
      <c r="AW46" s="185"/>
      <c r="AX46" s="185"/>
    </row>
    <row r="47" spans="2:50" ht="15" customHeight="1" x14ac:dyDescent="0.3">
      <c r="B47" s="634"/>
      <c r="C47" s="635"/>
      <c r="D47" s="636"/>
      <c r="E47" s="625"/>
      <c r="F47" s="621"/>
      <c r="G47" s="622"/>
      <c r="H47" s="622"/>
      <c r="I47" s="622"/>
      <c r="J47" s="622"/>
      <c r="K47" s="623"/>
      <c r="L47" s="753"/>
      <c r="M47" s="596"/>
      <c r="N47" s="597"/>
      <c r="O47" s="597"/>
      <c r="P47" s="598"/>
      <c r="R47" s="343">
        <v>39</v>
      </c>
      <c r="S47" s="685" t="str">
        <f>IF(Input!C64="","",Input!C64)</f>
        <v/>
      </c>
      <c r="T47" s="686"/>
      <c r="U47" s="687"/>
      <c r="V47" s="406" t="str">
        <f>IF(Input!F64="","",Input!F64)</f>
        <v/>
      </c>
      <c r="W47" s="406" t="str">
        <f>IF(Input!G64="","",Input!G64)</f>
        <v/>
      </c>
      <c r="X47" s="407" t="str">
        <f>IF(Input!H64="","",Input!H64)</f>
        <v/>
      </c>
      <c r="Y47" s="443">
        <f>IF(Input!I64="","",Input!I64)</f>
        <v>1</v>
      </c>
      <c r="Z47" s="449" t="str">
        <f>IF(Input!J64="","",Input!J64)</f>
        <v/>
      </c>
      <c r="AL47" s="194"/>
      <c r="AM47" s="185"/>
      <c r="AN47" s="185"/>
      <c r="AO47" s="163">
        <v>33</v>
      </c>
      <c r="AP47" s="164">
        <f>Sum!BG38</f>
        <v>0</v>
      </c>
      <c r="AQ47" s="165">
        <f t="shared" si="3"/>
        <v>0</v>
      </c>
      <c r="AR47" s="165">
        <f>HLOOKUP(L$46,IEEE!K$4:O$54,AO47+1)</f>
        <v>2</v>
      </c>
      <c r="AS47" s="213" t="str">
        <f t="shared" si="4"/>
        <v/>
      </c>
      <c r="AT47" s="165">
        <f>SQRT(3)*Sum!BH38</f>
        <v>0</v>
      </c>
      <c r="AU47" s="166">
        <f t="shared" si="5"/>
        <v>0</v>
      </c>
      <c r="AV47" s="185"/>
      <c r="AW47" s="185"/>
      <c r="AX47" s="185"/>
    </row>
    <row r="48" spans="2:50" ht="15" customHeight="1" x14ac:dyDescent="0.3">
      <c r="B48" s="628" t="s">
        <v>598</v>
      </c>
      <c r="C48" s="629"/>
      <c r="D48" s="630"/>
      <c r="E48" s="754" t="str">
        <f>IF(Power!AG13="XFMR Sec","XFMR Secondary","GEN Bus")</f>
        <v>XFMR Secondary</v>
      </c>
      <c r="F48" s="617" t="s">
        <v>652</v>
      </c>
      <c r="G48" s="618"/>
      <c r="H48" s="618"/>
      <c r="I48" s="618"/>
      <c r="J48" s="618"/>
      <c r="K48" s="619"/>
      <c r="L48" s="750">
        <f>Power!AF46/100</f>
        <v>0</v>
      </c>
      <c r="M48" s="596"/>
      <c r="N48" s="597"/>
      <c r="O48" s="597"/>
      <c r="P48" s="598"/>
      <c r="R48" s="343">
        <v>40</v>
      </c>
      <c r="S48" s="685" t="str">
        <f>IF(Input!C65="","",Input!C65)</f>
        <v/>
      </c>
      <c r="T48" s="686"/>
      <c r="U48" s="687"/>
      <c r="V48" s="406" t="str">
        <f>IF(Input!F65="","",Input!F65)</f>
        <v/>
      </c>
      <c r="W48" s="406" t="str">
        <f>IF(Input!G65="","",Input!G65)</f>
        <v/>
      </c>
      <c r="X48" s="407" t="str">
        <f>IF(Input!H65="","",Input!H65)</f>
        <v/>
      </c>
      <c r="Y48" s="443">
        <f>IF(Input!I65="","",Input!I65)</f>
        <v>1</v>
      </c>
      <c r="Z48" s="449" t="str">
        <f>IF(Input!J65="","",Input!J65)</f>
        <v/>
      </c>
      <c r="AL48" s="194"/>
      <c r="AM48" s="185"/>
      <c r="AN48" s="185"/>
      <c r="AO48" s="163">
        <v>34</v>
      </c>
      <c r="AP48" s="164">
        <f>Sum!BG39</f>
        <v>0</v>
      </c>
      <c r="AQ48" s="165">
        <f t="shared" si="3"/>
        <v>0</v>
      </c>
      <c r="AR48" s="165">
        <f>HLOOKUP(L$46,IEEE!K$4:O$54,AO48+1)</f>
        <v>0.5</v>
      </c>
      <c r="AS48" s="213" t="str">
        <f t="shared" si="4"/>
        <v/>
      </c>
      <c r="AT48" s="165">
        <f>SQRT(3)*Sum!BH39</f>
        <v>0</v>
      </c>
      <c r="AU48" s="166">
        <f t="shared" si="5"/>
        <v>0</v>
      </c>
      <c r="AV48" s="185"/>
      <c r="AW48" s="185"/>
      <c r="AX48" s="185"/>
    </row>
    <row r="49" spans="2:50" ht="15.75" customHeight="1" thickBot="1" x14ac:dyDescent="0.35">
      <c r="B49" s="631"/>
      <c r="C49" s="632"/>
      <c r="D49" s="633"/>
      <c r="E49" s="755"/>
      <c r="F49" s="599"/>
      <c r="G49" s="600"/>
      <c r="H49" s="600"/>
      <c r="I49" s="600"/>
      <c r="J49" s="600"/>
      <c r="K49" s="620"/>
      <c r="L49" s="751"/>
      <c r="M49" s="599"/>
      <c r="N49" s="600"/>
      <c r="O49" s="600"/>
      <c r="P49" s="601"/>
      <c r="R49" s="343">
        <v>41</v>
      </c>
      <c r="S49" s="685" t="str">
        <f>IF(Input!C66="","",Input!C66)</f>
        <v/>
      </c>
      <c r="T49" s="686"/>
      <c r="U49" s="687"/>
      <c r="V49" s="406" t="str">
        <f>IF(Input!F66="","",Input!F66)</f>
        <v/>
      </c>
      <c r="W49" s="406" t="str">
        <f>IF(Input!G66="","",Input!G66)</f>
        <v/>
      </c>
      <c r="X49" s="407" t="str">
        <f>IF(Input!H66="","",Input!H66)</f>
        <v/>
      </c>
      <c r="Y49" s="443">
        <f>IF(Input!I66="","",Input!I66)</f>
        <v>1</v>
      </c>
      <c r="Z49" s="449" t="str">
        <f>IF(Input!J66="","",Input!J66)</f>
        <v/>
      </c>
      <c r="AL49" s="194"/>
      <c r="AM49" s="185"/>
      <c r="AN49" s="185"/>
      <c r="AO49" s="167">
        <v>35</v>
      </c>
      <c r="AP49" s="164">
        <f>Sum!BG40</f>
        <v>0</v>
      </c>
      <c r="AQ49" s="165">
        <f t="shared" si="3"/>
        <v>0</v>
      </c>
      <c r="AR49" s="165">
        <f>HLOOKUP(L$46,IEEE!K$4:O$54,AO49+1)</f>
        <v>1</v>
      </c>
      <c r="AS49" s="213" t="str">
        <f t="shared" si="4"/>
        <v/>
      </c>
      <c r="AT49" s="165">
        <f>SQRT(3)*Sum!BH40</f>
        <v>0</v>
      </c>
      <c r="AU49" s="166">
        <f t="shared" si="5"/>
        <v>0</v>
      </c>
      <c r="AV49" s="185"/>
      <c r="AW49" s="185"/>
      <c r="AX49" s="185"/>
    </row>
    <row r="50" spans="2:50" ht="15.75" customHeight="1" x14ac:dyDescent="0.3">
      <c r="R50" s="343">
        <v>42</v>
      </c>
      <c r="S50" s="685" t="str">
        <f>IF(Input!C67="","",Input!C67)</f>
        <v/>
      </c>
      <c r="T50" s="686"/>
      <c r="U50" s="687"/>
      <c r="V50" s="406" t="str">
        <f>IF(Input!F67="","",Input!F67)</f>
        <v/>
      </c>
      <c r="W50" s="406" t="str">
        <f>IF(Input!G67="","",Input!G67)</f>
        <v/>
      </c>
      <c r="X50" s="407" t="str">
        <f>IF(Input!H67="","",Input!H67)</f>
        <v/>
      </c>
      <c r="Y50" s="443">
        <f>IF(Input!I67="","",Input!I67)</f>
        <v>1</v>
      </c>
      <c r="Z50" s="449" t="str">
        <f>IF(Input!J67="","",Input!J67)</f>
        <v/>
      </c>
      <c r="AL50" s="194"/>
      <c r="AM50" s="185"/>
      <c r="AN50" s="185"/>
      <c r="AO50" s="163">
        <v>36</v>
      </c>
      <c r="AP50" s="164">
        <f>Sum!BG41</f>
        <v>0</v>
      </c>
      <c r="AQ50" s="165">
        <f t="shared" si="3"/>
        <v>0</v>
      </c>
      <c r="AR50" s="165">
        <f>HLOOKUP(L$46,IEEE!K$4:O$54,AO50+1)</f>
        <v>0.25</v>
      </c>
      <c r="AS50" s="213" t="str">
        <f t="shared" si="4"/>
        <v/>
      </c>
      <c r="AT50" s="165">
        <f>SQRT(3)*Sum!BH41</f>
        <v>0</v>
      </c>
      <c r="AU50" s="166">
        <f t="shared" si="5"/>
        <v>0</v>
      </c>
      <c r="AV50" s="185"/>
      <c r="AW50" s="185"/>
      <c r="AX50" s="185"/>
    </row>
    <row r="51" spans="2:50" ht="14.4" customHeight="1" thickBot="1" x14ac:dyDescent="0.35">
      <c r="R51" s="343">
        <v>43</v>
      </c>
      <c r="S51" s="685" t="str">
        <f>IF(Input!C68="","",Input!C68)</f>
        <v xml:space="preserve"> </v>
      </c>
      <c r="T51" s="686"/>
      <c r="U51" s="687"/>
      <c r="V51" s="406" t="str">
        <f>IF(Input!F68="","",Input!F68)</f>
        <v/>
      </c>
      <c r="W51" s="406" t="str">
        <f>IF(Input!G68="","",Input!G68)</f>
        <v/>
      </c>
      <c r="X51" s="407" t="str">
        <f>IF(Input!H68="","",Input!H68)</f>
        <v/>
      </c>
      <c r="Y51" s="443">
        <f>IF(Input!I68="","",Input!I68)</f>
        <v>1</v>
      </c>
      <c r="Z51" s="449" t="str">
        <f>IF(Input!J68="","",Input!J68)</f>
        <v/>
      </c>
      <c r="AL51" s="194"/>
      <c r="AM51" s="185"/>
      <c r="AN51" s="185"/>
      <c r="AO51" s="163">
        <v>37</v>
      </c>
      <c r="AP51" s="164">
        <f>Sum!BG42</f>
        <v>0</v>
      </c>
      <c r="AQ51" s="165">
        <f t="shared" si="3"/>
        <v>0</v>
      </c>
      <c r="AR51" s="165">
        <f>HLOOKUP(L$46,IEEE!K$4:O$54,AO51+1)</f>
        <v>1</v>
      </c>
      <c r="AS51" s="213" t="str">
        <f t="shared" si="4"/>
        <v/>
      </c>
      <c r="AT51" s="165">
        <f>SQRT(3)*Sum!BH42</f>
        <v>0</v>
      </c>
      <c r="AU51" s="166">
        <f t="shared" si="5"/>
        <v>0</v>
      </c>
      <c r="AV51" s="185"/>
      <c r="AW51" s="185"/>
      <c r="AX51" s="185"/>
    </row>
    <row r="52" spans="2:50" ht="15" thickBot="1" x14ac:dyDescent="0.35">
      <c r="B52" s="590" t="s">
        <v>604</v>
      </c>
      <c r="C52" s="591"/>
      <c r="D52" s="591"/>
      <c r="E52" s="592"/>
      <c r="F52" s="352"/>
      <c r="G52" s="352"/>
      <c r="H52" s="352"/>
      <c r="I52" s="352"/>
      <c r="J52" s="352"/>
      <c r="K52" s="352"/>
      <c r="L52" s="352"/>
      <c r="M52" s="352"/>
      <c r="N52" s="352"/>
      <c r="O52" s="352"/>
      <c r="P52" s="352"/>
      <c r="R52" s="343">
        <v>44</v>
      </c>
      <c r="S52" s="685" t="str">
        <f>IF(Input!C69="","",Input!C69)</f>
        <v/>
      </c>
      <c r="T52" s="686"/>
      <c r="U52" s="687"/>
      <c r="V52" s="406" t="str">
        <f>IF(Input!F69="","",Input!F69)</f>
        <v/>
      </c>
      <c r="W52" s="406" t="str">
        <f>IF(Input!G69="","",Input!G69)</f>
        <v/>
      </c>
      <c r="X52" s="407" t="str">
        <f>IF(Input!H69="","",Input!H69)</f>
        <v/>
      </c>
      <c r="Y52" s="443">
        <f>IF(Input!I69="","",Input!I69)</f>
        <v>1</v>
      </c>
      <c r="Z52" s="449" t="str">
        <f>IF(Input!J69="","",Input!J69)</f>
        <v/>
      </c>
      <c r="AL52" s="194"/>
      <c r="AM52" s="185"/>
      <c r="AN52" s="185"/>
      <c r="AO52" s="163">
        <v>38</v>
      </c>
      <c r="AP52" s="164">
        <f>Sum!BG43</f>
        <v>0</v>
      </c>
      <c r="AQ52" s="165">
        <f t="shared" si="3"/>
        <v>0</v>
      </c>
      <c r="AR52" s="165">
        <f>HLOOKUP(L$46,IEEE!K$4:O$54,AO52+1)</f>
        <v>0.25</v>
      </c>
      <c r="AS52" s="213" t="str">
        <f t="shared" si="4"/>
        <v/>
      </c>
      <c r="AT52" s="165">
        <f>SQRT(3)*Sum!BH43</f>
        <v>0</v>
      </c>
      <c r="AU52" s="166">
        <f t="shared" si="5"/>
        <v>0</v>
      </c>
      <c r="AV52" s="185"/>
      <c r="AW52" s="185"/>
      <c r="AX52" s="185"/>
    </row>
    <row r="53" spans="2:50" ht="14.4" customHeight="1" x14ac:dyDescent="0.3">
      <c r="B53" s="745" t="s">
        <v>919</v>
      </c>
      <c r="C53" s="746"/>
      <c r="D53" s="747" t="str">
        <f>IF(B53="","",VLOOKUP(B53,'Qual Notes'!B$3:C$15,2,FALSE))</f>
        <v>Harmonic analysis only includes the drives that are listed on page 2 of this report.</v>
      </c>
      <c r="E53" s="748"/>
      <c r="F53" s="748"/>
      <c r="G53" s="748"/>
      <c r="H53" s="748"/>
      <c r="I53" s="748"/>
      <c r="J53" s="748"/>
      <c r="K53" s="748"/>
      <c r="L53" s="748"/>
      <c r="M53" s="748"/>
      <c r="N53" s="748"/>
      <c r="O53" s="748"/>
      <c r="P53" s="749"/>
      <c r="R53" s="343">
        <v>45</v>
      </c>
      <c r="S53" s="685" t="str">
        <f>IF(Input!C70="","",Input!C70)</f>
        <v/>
      </c>
      <c r="T53" s="686"/>
      <c r="U53" s="687"/>
      <c r="V53" s="406" t="str">
        <f>IF(Input!F70="","",Input!F70)</f>
        <v/>
      </c>
      <c r="W53" s="406" t="str">
        <f>IF(Input!G70="","",Input!G70)</f>
        <v/>
      </c>
      <c r="X53" s="407" t="str">
        <f>IF(Input!H70="","",Input!H70)</f>
        <v/>
      </c>
      <c r="Y53" s="443">
        <f>IF(Input!I70="","",Input!I70)</f>
        <v>1</v>
      </c>
      <c r="Z53" s="449" t="str">
        <f>IF(Input!J70="","",Input!J70)</f>
        <v/>
      </c>
      <c r="AL53" s="194"/>
      <c r="AM53" s="185"/>
      <c r="AN53" s="185"/>
      <c r="AO53" s="163">
        <v>39</v>
      </c>
      <c r="AP53" s="164">
        <f>Sum!BG44</f>
        <v>0</v>
      </c>
      <c r="AQ53" s="165">
        <f t="shared" si="3"/>
        <v>0</v>
      </c>
      <c r="AR53" s="165">
        <f>HLOOKUP(L$46,IEEE!K$4:O$54,AO53+1)</f>
        <v>1</v>
      </c>
      <c r="AS53" s="213" t="str">
        <f t="shared" si="4"/>
        <v/>
      </c>
      <c r="AT53" s="165">
        <f>SQRT(3)*Sum!BH44</f>
        <v>0</v>
      </c>
      <c r="AU53" s="166">
        <f t="shared" si="5"/>
        <v>0</v>
      </c>
      <c r="AV53" s="185"/>
      <c r="AW53" s="185"/>
      <c r="AX53" s="185"/>
    </row>
    <row r="54" spans="2:50" x14ac:dyDescent="0.3">
      <c r="B54" s="575"/>
      <c r="C54" s="576"/>
      <c r="D54" s="580"/>
      <c r="E54" s="581"/>
      <c r="F54" s="581"/>
      <c r="G54" s="581"/>
      <c r="H54" s="581"/>
      <c r="I54" s="581"/>
      <c r="J54" s="581"/>
      <c r="K54" s="581"/>
      <c r="L54" s="581"/>
      <c r="M54" s="581"/>
      <c r="N54" s="581"/>
      <c r="O54" s="581"/>
      <c r="P54" s="582"/>
      <c r="R54" s="343">
        <v>46</v>
      </c>
      <c r="S54" s="685" t="str">
        <f>IF(Input!C71="","",Input!C71)</f>
        <v/>
      </c>
      <c r="T54" s="686"/>
      <c r="U54" s="687"/>
      <c r="V54" s="406" t="str">
        <f>IF(Input!F71="","",Input!F71)</f>
        <v/>
      </c>
      <c r="W54" s="406" t="str">
        <f>IF(Input!G71="","",Input!G71)</f>
        <v/>
      </c>
      <c r="X54" s="407" t="str">
        <f>IF(Input!H71="","",Input!H71)</f>
        <v/>
      </c>
      <c r="Y54" s="443">
        <f>IF(Input!I71="","",Input!I71)</f>
        <v>1</v>
      </c>
      <c r="Z54" s="449" t="str">
        <f>IF(Input!J71="","",Input!J71)</f>
        <v/>
      </c>
      <c r="AL54" s="194"/>
      <c r="AM54" s="185"/>
      <c r="AN54" s="185"/>
      <c r="AO54" s="163">
        <v>40</v>
      </c>
      <c r="AP54" s="164">
        <f>Sum!BG45</f>
        <v>0</v>
      </c>
      <c r="AQ54" s="165">
        <f t="shared" si="3"/>
        <v>0</v>
      </c>
      <c r="AR54" s="165">
        <f>HLOOKUP(L$46,IEEE!K$4:O$54,AO54+1)</f>
        <v>0.25</v>
      </c>
      <c r="AS54" s="213" t="str">
        <f t="shared" si="4"/>
        <v/>
      </c>
      <c r="AT54" s="165">
        <f>SQRT(3)*Sum!BH45</f>
        <v>0</v>
      </c>
      <c r="AU54" s="166">
        <f t="shared" si="5"/>
        <v>0</v>
      </c>
      <c r="AV54" s="185"/>
      <c r="AW54" s="185"/>
      <c r="AX54" s="185"/>
    </row>
    <row r="55" spans="2:50" ht="15" customHeight="1" x14ac:dyDescent="0.3">
      <c r="B55" s="573" t="s">
        <v>157</v>
      </c>
      <c r="C55" s="574"/>
      <c r="D55" s="577" t="str">
        <f>IF(B55="","",VLOOKUP(B55,'Qual Notes'!B$3:C$15,2,FALSE))</f>
        <v>All non-drive loading is assumed to be linear loading.</v>
      </c>
      <c r="E55" s="578"/>
      <c r="F55" s="578"/>
      <c r="G55" s="578"/>
      <c r="H55" s="578"/>
      <c r="I55" s="578"/>
      <c r="J55" s="578"/>
      <c r="K55" s="578"/>
      <c r="L55" s="578"/>
      <c r="M55" s="578"/>
      <c r="N55" s="578"/>
      <c r="O55" s="578"/>
      <c r="P55" s="579"/>
      <c r="R55" s="343">
        <v>47</v>
      </c>
      <c r="S55" s="685" t="str">
        <f>IF(Input!C72="","",Input!C72)</f>
        <v/>
      </c>
      <c r="T55" s="686"/>
      <c r="U55" s="687"/>
      <c r="V55" s="406" t="str">
        <f>IF(Input!F72="","",Input!F72)</f>
        <v/>
      </c>
      <c r="W55" s="406" t="str">
        <f>IF(Input!G72="","",Input!G72)</f>
        <v/>
      </c>
      <c r="X55" s="407" t="str">
        <f>IF(Input!H72="","",Input!H72)</f>
        <v/>
      </c>
      <c r="Y55" s="443">
        <f>IF(Input!I72="","",Input!I72)</f>
        <v>1</v>
      </c>
      <c r="Z55" s="449" t="str">
        <f>IF(Input!J72="","",Input!J72)</f>
        <v/>
      </c>
      <c r="AL55" s="194"/>
      <c r="AM55" s="185"/>
      <c r="AN55" s="185"/>
      <c r="AO55" s="163">
        <v>41</v>
      </c>
      <c r="AP55" s="164">
        <f>Sum!BG46</f>
        <v>0</v>
      </c>
      <c r="AQ55" s="165">
        <f t="shared" si="3"/>
        <v>0</v>
      </c>
      <c r="AR55" s="165">
        <f>HLOOKUP(L$46,IEEE!K$4:O$54,AO55+1)</f>
        <v>1</v>
      </c>
      <c r="AS55" s="213" t="str">
        <f t="shared" si="4"/>
        <v/>
      </c>
      <c r="AT55" s="165">
        <f>SQRT(3)*Sum!BH46</f>
        <v>0</v>
      </c>
      <c r="AU55" s="166">
        <f t="shared" si="5"/>
        <v>0</v>
      </c>
      <c r="AV55" s="185"/>
      <c r="AW55" s="185"/>
      <c r="AX55" s="185"/>
    </row>
    <row r="56" spans="2:50" ht="14.4" customHeight="1" x14ac:dyDescent="0.3">
      <c r="B56" s="575"/>
      <c r="C56" s="576"/>
      <c r="D56" s="580"/>
      <c r="E56" s="581"/>
      <c r="F56" s="581"/>
      <c r="G56" s="581"/>
      <c r="H56" s="581"/>
      <c r="I56" s="581"/>
      <c r="J56" s="581"/>
      <c r="K56" s="581"/>
      <c r="L56" s="581"/>
      <c r="M56" s="581"/>
      <c r="N56" s="581"/>
      <c r="O56" s="581"/>
      <c r="P56" s="582"/>
      <c r="R56" s="343">
        <v>48</v>
      </c>
      <c r="S56" s="685" t="str">
        <f>IF(Input!C73="","",Input!C73)</f>
        <v/>
      </c>
      <c r="T56" s="686"/>
      <c r="U56" s="687"/>
      <c r="V56" s="406" t="str">
        <f>IF(Input!F73="","",Input!F73)</f>
        <v/>
      </c>
      <c r="W56" s="406" t="str">
        <f>IF(Input!G73="","",Input!G73)</f>
        <v/>
      </c>
      <c r="X56" s="407" t="str">
        <f>IF(Input!H73="","",Input!H73)</f>
        <v/>
      </c>
      <c r="Y56" s="443">
        <f>IF(Input!I73="","",Input!I73)</f>
        <v>1</v>
      </c>
      <c r="Z56" s="449" t="str">
        <f>IF(Input!J73="","",Input!J73)</f>
        <v/>
      </c>
      <c r="AL56" s="194"/>
      <c r="AM56" s="185"/>
      <c r="AN56" s="185"/>
      <c r="AO56" s="163">
        <v>42</v>
      </c>
      <c r="AP56" s="164">
        <f>Sum!BG47</f>
        <v>0</v>
      </c>
      <c r="AQ56" s="165">
        <f t="shared" si="3"/>
        <v>0</v>
      </c>
      <c r="AR56" s="165">
        <f>HLOOKUP(L$46,IEEE!K$4:O$54,AO56+1)</f>
        <v>0.25</v>
      </c>
      <c r="AS56" s="213" t="str">
        <f t="shared" si="4"/>
        <v/>
      </c>
      <c r="AT56" s="165">
        <f>SQRT(3)*Sum!BH47</f>
        <v>0</v>
      </c>
      <c r="AU56" s="166">
        <f t="shared" si="5"/>
        <v>0</v>
      </c>
      <c r="AV56" s="185"/>
      <c r="AW56" s="185"/>
      <c r="AX56" s="185"/>
    </row>
    <row r="57" spans="2:50" ht="15" customHeight="1" x14ac:dyDescent="0.3">
      <c r="B57" s="573" t="s">
        <v>159</v>
      </c>
      <c r="C57" s="574"/>
      <c r="D57" s="577" t="str">
        <f>IF(B57="","",VLOOKUP(B57,'Qual Notes'!B$3:C$15,2,FALSE))</f>
        <v>Harmonic analysis assumes the MV to LV step down transformer is 70% loaded under peak loading.</v>
      </c>
      <c r="E57" s="578"/>
      <c r="F57" s="578"/>
      <c r="G57" s="578"/>
      <c r="H57" s="578"/>
      <c r="I57" s="578"/>
      <c r="J57" s="578"/>
      <c r="K57" s="578"/>
      <c r="L57" s="578"/>
      <c r="M57" s="578"/>
      <c r="N57" s="578"/>
      <c r="O57" s="578"/>
      <c r="P57" s="579"/>
      <c r="R57" s="343">
        <v>49</v>
      </c>
      <c r="S57" s="685" t="str">
        <f>IF(Input!C74="","",Input!C74)</f>
        <v/>
      </c>
      <c r="T57" s="686"/>
      <c r="U57" s="687"/>
      <c r="V57" s="406" t="str">
        <f>IF(Input!F74="","",Input!F74)</f>
        <v/>
      </c>
      <c r="W57" s="406" t="str">
        <f>IF(Input!G74="","",Input!G74)</f>
        <v/>
      </c>
      <c r="X57" s="407" t="str">
        <f>IF(Input!H74="","",Input!H74)</f>
        <v/>
      </c>
      <c r="Y57" s="443">
        <f>IF(Input!I74="","",Input!I74)</f>
        <v>1</v>
      </c>
      <c r="Z57" s="449" t="str">
        <f>IF(Input!J74="","",Input!J74)</f>
        <v/>
      </c>
      <c r="AL57" s="194"/>
      <c r="AM57" s="185"/>
      <c r="AN57" s="185"/>
      <c r="AO57" s="163">
        <v>43</v>
      </c>
      <c r="AP57" s="164">
        <f>Sum!BG48</f>
        <v>0</v>
      </c>
      <c r="AQ57" s="165">
        <f t="shared" si="3"/>
        <v>0</v>
      </c>
      <c r="AR57" s="165">
        <f>HLOOKUP(L$46,IEEE!K$4:O$54,AO57+1)</f>
        <v>1</v>
      </c>
      <c r="AS57" s="213" t="str">
        <f t="shared" si="4"/>
        <v/>
      </c>
      <c r="AT57" s="165">
        <f>SQRT(3)*Sum!BH48</f>
        <v>0</v>
      </c>
      <c r="AU57" s="166">
        <f t="shared" si="5"/>
        <v>0</v>
      </c>
      <c r="AV57" s="185"/>
      <c r="AW57" s="185"/>
      <c r="AX57" s="185"/>
    </row>
    <row r="58" spans="2:50" ht="14.4" customHeight="1" x14ac:dyDescent="0.3">
      <c r="B58" s="575"/>
      <c r="C58" s="576"/>
      <c r="D58" s="580"/>
      <c r="E58" s="581"/>
      <c r="F58" s="581"/>
      <c r="G58" s="581"/>
      <c r="H58" s="581"/>
      <c r="I58" s="581"/>
      <c r="J58" s="581"/>
      <c r="K58" s="581"/>
      <c r="L58" s="581"/>
      <c r="M58" s="581"/>
      <c r="N58" s="581"/>
      <c r="O58" s="581"/>
      <c r="P58" s="582"/>
      <c r="R58" s="343">
        <v>50</v>
      </c>
      <c r="S58" s="685" t="str">
        <f>IF(Input!C75="","",Input!C75)</f>
        <v/>
      </c>
      <c r="T58" s="686"/>
      <c r="U58" s="687"/>
      <c r="V58" s="406" t="str">
        <f>IF(Input!F75="","",Input!F75)</f>
        <v/>
      </c>
      <c r="W58" s="406" t="str">
        <f>IF(Input!G75="","",Input!G75)</f>
        <v/>
      </c>
      <c r="X58" s="407" t="str">
        <f>IF(Input!H75="","",Input!H75)</f>
        <v/>
      </c>
      <c r="Y58" s="443">
        <f>IF(Input!I75="","",Input!I75)</f>
        <v>1</v>
      </c>
      <c r="Z58" s="449" t="str">
        <f>IF(Input!J75="","",Input!J75)</f>
        <v/>
      </c>
      <c r="AL58" s="194"/>
      <c r="AM58" s="185"/>
      <c r="AN58" s="185"/>
      <c r="AO58" s="163">
        <v>44</v>
      </c>
      <c r="AP58" s="164">
        <f>Sum!BG49</f>
        <v>0</v>
      </c>
      <c r="AQ58" s="165">
        <f t="shared" si="3"/>
        <v>0</v>
      </c>
      <c r="AR58" s="165">
        <f>HLOOKUP(L$46,IEEE!K$4:O$54,AO58+1)</f>
        <v>0.25</v>
      </c>
      <c r="AS58" s="213" t="str">
        <f t="shared" si="4"/>
        <v/>
      </c>
      <c r="AT58" s="165">
        <f>SQRT(3)*Sum!BH49</f>
        <v>0</v>
      </c>
      <c r="AU58" s="166">
        <f t="shared" si="5"/>
        <v>0</v>
      </c>
      <c r="AV58" s="185"/>
      <c r="AW58" s="185"/>
      <c r="AX58" s="185"/>
    </row>
    <row r="59" spans="2:50" ht="15" customHeight="1" x14ac:dyDescent="0.3">
      <c r="B59" s="573" t="s">
        <v>160</v>
      </c>
      <c r="C59" s="574"/>
      <c r="D59" s="577" t="str">
        <f>IF(B59="","",VLOOKUP(B59,'Qual Notes'!B$3:C$15,2,FALSE))</f>
        <v>The point of common coupling (PCC) was chosen based on IEEE 519-2014.  The TDD (current) was calculated on the primary (utility) side of the transformer.  The vTHD (voltage), while not included in IEEE 519-2014, was calculated on the secondary (facility) side of the transformer.</v>
      </c>
      <c r="E59" s="578"/>
      <c r="F59" s="578"/>
      <c r="G59" s="578"/>
      <c r="H59" s="578"/>
      <c r="I59" s="578"/>
      <c r="J59" s="578"/>
      <c r="K59" s="578"/>
      <c r="L59" s="578"/>
      <c r="M59" s="578"/>
      <c r="N59" s="578"/>
      <c r="O59" s="578"/>
      <c r="P59" s="579"/>
      <c r="R59" s="343"/>
      <c r="S59" s="685"/>
      <c r="T59" s="686"/>
      <c r="U59" s="687"/>
      <c r="V59" s="406"/>
      <c r="W59" s="406" t="str">
        <f>Input!G76</f>
        <v xml:space="preserve">Total HP = </v>
      </c>
      <c r="X59" s="407">
        <f>Input!H76</f>
        <v>0</v>
      </c>
      <c r="Y59" s="443"/>
      <c r="Z59" s="449"/>
      <c r="AL59" s="194"/>
      <c r="AM59" s="185"/>
      <c r="AN59" s="185"/>
      <c r="AO59" s="163">
        <v>45</v>
      </c>
      <c r="AP59" s="164">
        <f>Sum!BG50</f>
        <v>0</v>
      </c>
      <c r="AQ59" s="165">
        <f t="shared" si="3"/>
        <v>0</v>
      </c>
      <c r="AR59" s="165">
        <f>HLOOKUP(L$46,IEEE!K$4:O$54,AO59+1)</f>
        <v>1</v>
      </c>
      <c r="AS59" s="213" t="str">
        <f t="shared" si="4"/>
        <v/>
      </c>
      <c r="AT59" s="165">
        <f>SQRT(3)*Sum!BH50</f>
        <v>0</v>
      </c>
      <c r="AU59" s="166">
        <f t="shared" si="5"/>
        <v>0</v>
      </c>
      <c r="AV59" s="185"/>
      <c r="AW59" s="185"/>
      <c r="AX59" s="185"/>
    </row>
    <row r="60" spans="2:50" ht="14.4" customHeight="1" x14ac:dyDescent="0.3">
      <c r="B60" s="575"/>
      <c r="C60" s="576"/>
      <c r="D60" s="580"/>
      <c r="E60" s="581"/>
      <c r="F60" s="581"/>
      <c r="G60" s="581"/>
      <c r="H60" s="581"/>
      <c r="I60" s="581"/>
      <c r="J60" s="581"/>
      <c r="K60" s="581"/>
      <c r="L60" s="581"/>
      <c r="M60" s="581"/>
      <c r="N60" s="581"/>
      <c r="O60" s="581"/>
      <c r="P60" s="582"/>
      <c r="AL60" s="194"/>
      <c r="AM60" s="185"/>
      <c r="AN60" s="185"/>
      <c r="AO60" s="163">
        <v>46</v>
      </c>
      <c r="AP60" s="164">
        <f>Sum!BG51</f>
        <v>0</v>
      </c>
      <c r="AQ60" s="165">
        <f t="shared" si="3"/>
        <v>0</v>
      </c>
      <c r="AR60" s="165">
        <f>HLOOKUP(L$46,IEEE!K$4:O$54,AO60+1)</f>
        <v>0.25</v>
      </c>
      <c r="AS60" s="213" t="str">
        <f t="shared" si="4"/>
        <v/>
      </c>
      <c r="AT60" s="165">
        <f>SQRT(3)*Sum!BH51</f>
        <v>0</v>
      </c>
      <c r="AU60" s="166">
        <f t="shared" si="5"/>
        <v>0</v>
      </c>
      <c r="AV60" s="185"/>
      <c r="AW60" s="185"/>
      <c r="AX60" s="185"/>
    </row>
    <row r="61" spans="2:50" x14ac:dyDescent="0.3">
      <c r="B61" s="573"/>
      <c r="C61" s="574"/>
      <c r="D61" s="577" t="str">
        <f>IF(B61="","",VLOOKUP(B61,'Qual Notes'!B$3:C$15,2,FALSE))</f>
        <v/>
      </c>
      <c r="E61" s="578"/>
      <c r="F61" s="578"/>
      <c r="G61" s="578"/>
      <c r="H61" s="578"/>
      <c r="I61" s="578"/>
      <c r="J61" s="578"/>
      <c r="K61" s="578"/>
      <c r="L61" s="578"/>
      <c r="M61" s="578"/>
      <c r="N61" s="578"/>
      <c r="O61" s="578"/>
      <c r="P61" s="579"/>
      <c r="R61" s="401"/>
      <c r="S61" s="707"/>
      <c r="T61" s="707"/>
      <c r="U61" s="707"/>
      <c r="V61" s="403"/>
      <c r="W61" s="192"/>
      <c r="X61" s="192"/>
      <c r="Y61" s="192"/>
      <c r="AL61" s="194"/>
      <c r="AM61" s="185"/>
      <c r="AN61" s="185"/>
      <c r="AO61" s="163">
        <v>47</v>
      </c>
      <c r="AP61" s="164">
        <f>Sum!BG52</f>
        <v>0</v>
      </c>
      <c r="AQ61" s="165">
        <f t="shared" si="3"/>
        <v>0</v>
      </c>
      <c r="AR61" s="165">
        <f>HLOOKUP(L$46,IEEE!K$4:O$54,AO61+1)</f>
        <v>1</v>
      </c>
      <c r="AS61" s="213" t="str">
        <f t="shared" si="4"/>
        <v/>
      </c>
      <c r="AT61" s="165">
        <f>SQRT(3)*Sum!BH52</f>
        <v>0</v>
      </c>
      <c r="AU61" s="166">
        <f t="shared" si="5"/>
        <v>0</v>
      </c>
      <c r="AV61" s="185"/>
      <c r="AW61" s="185"/>
      <c r="AX61" s="185"/>
    </row>
    <row r="62" spans="2:50" ht="15.75" customHeight="1" x14ac:dyDescent="0.3">
      <c r="B62" s="575"/>
      <c r="C62" s="576"/>
      <c r="D62" s="580"/>
      <c r="E62" s="581"/>
      <c r="F62" s="581"/>
      <c r="G62" s="581"/>
      <c r="H62" s="581"/>
      <c r="I62" s="581"/>
      <c r="J62" s="581"/>
      <c r="K62" s="581"/>
      <c r="L62" s="581"/>
      <c r="M62" s="581"/>
      <c r="N62" s="581"/>
      <c r="O62" s="581"/>
      <c r="P62" s="582"/>
      <c r="R62" s="402"/>
      <c r="S62" s="706"/>
      <c r="T62" s="706"/>
      <c r="U62" s="706"/>
      <c r="V62" s="404"/>
      <c r="W62" s="404"/>
      <c r="X62" s="404"/>
      <c r="Y62" s="405"/>
      <c r="AL62" s="194"/>
      <c r="AM62" s="185"/>
      <c r="AN62" s="185"/>
      <c r="AO62" s="163">
        <v>48</v>
      </c>
      <c r="AP62" s="164">
        <f>Sum!BG53</f>
        <v>0</v>
      </c>
      <c r="AQ62" s="165">
        <f t="shared" si="3"/>
        <v>0</v>
      </c>
      <c r="AR62" s="165">
        <f>HLOOKUP(L$46,IEEE!K$4:O$54,AO62+1)</f>
        <v>0.25</v>
      </c>
      <c r="AS62" s="213" t="str">
        <f t="shared" si="4"/>
        <v/>
      </c>
      <c r="AT62" s="165">
        <f>SQRT(3)*Sum!BH53</f>
        <v>0</v>
      </c>
      <c r="AU62" s="166">
        <f t="shared" si="5"/>
        <v>0</v>
      </c>
      <c r="AV62" s="185"/>
      <c r="AW62" s="185"/>
      <c r="AX62" s="185"/>
    </row>
    <row r="63" spans="2:50" x14ac:dyDescent="0.3">
      <c r="B63" s="573"/>
      <c r="C63" s="574"/>
      <c r="D63" s="577" t="str">
        <f>IF(B63="","",VLOOKUP(B63,'Qual Notes'!B$3:C$15,2,FALSE))</f>
        <v/>
      </c>
      <c r="E63" s="578"/>
      <c r="F63" s="578"/>
      <c r="G63" s="578"/>
      <c r="H63" s="578"/>
      <c r="I63" s="578"/>
      <c r="J63" s="578"/>
      <c r="K63" s="578"/>
      <c r="L63" s="578"/>
      <c r="M63" s="578"/>
      <c r="N63" s="578"/>
      <c r="O63" s="578"/>
      <c r="P63" s="579"/>
      <c r="AL63" s="194"/>
      <c r="AM63" s="185"/>
      <c r="AN63" s="185"/>
      <c r="AO63" s="163">
        <v>49</v>
      </c>
      <c r="AP63" s="164">
        <f>Sum!BG54</f>
        <v>0</v>
      </c>
      <c r="AQ63" s="165">
        <f t="shared" si="3"/>
        <v>0</v>
      </c>
      <c r="AR63" s="165">
        <f>HLOOKUP(L$46,IEEE!K$4:O$54,AO63+1)</f>
        <v>1</v>
      </c>
      <c r="AS63" s="213" t="str">
        <f t="shared" si="4"/>
        <v/>
      </c>
      <c r="AT63" s="165">
        <f>SQRT(3)*Sum!BH54</f>
        <v>0</v>
      </c>
      <c r="AU63" s="166">
        <f t="shared" si="5"/>
        <v>0</v>
      </c>
      <c r="AV63" s="185"/>
      <c r="AW63" s="185"/>
      <c r="AX63" s="185"/>
    </row>
    <row r="64" spans="2:50" ht="15" thickBot="1" x14ac:dyDescent="0.35">
      <c r="B64" s="575"/>
      <c r="C64" s="576"/>
      <c r="D64" s="580"/>
      <c r="E64" s="581"/>
      <c r="F64" s="581"/>
      <c r="G64" s="581"/>
      <c r="H64" s="581"/>
      <c r="I64" s="581"/>
      <c r="J64" s="581"/>
      <c r="K64" s="581"/>
      <c r="L64" s="581"/>
      <c r="M64" s="581"/>
      <c r="N64" s="581"/>
      <c r="O64" s="581"/>
      <c r="P64" s="582"/>
      <c r="AL64" s="194"/>
      <c r="AM64" s="185"/>
      <c r="AN64" s="185"/>
      <c r="AO64" s="168">
        <v>50</v>
      </c>
      <c r="AP64" s="169">
        <f>Sum!BG55</f>
        <v>0</v>
      </c>
      <c r="AQ64" s="170">
        <f t="shared" si="3"/>
        <v>0</v>
      </c>
      <c r="AR64" s="170">
        <f>HLOOKUP(L$46,IEEE!K$4:O$54,AO64+1)</f>
        <v>0.25</v>
      </c>
      <c r="AS64" s="214" t="str">
        <f t="shared" si="4"/>
        <v/>
      </c>
      <c r="AT64" s="170">
        <f>SQRT(3)*Sum!BH55</f>
        <v>0</v>
      </c>
      <c r="AU64" s="171">
        <f t="shared" si="5"/>
        <v>0</v>
      </c>
      <c r="AV64" s="185"/>
      <c r="AW64" s="185"/>
      <c r="AX64" s="185"/>
    </row>
    <row r="65" spans="2:50" ht="15" thickBot="1" x14ac:dyDescent="0.35">
      <c r="B65" s="735"/>
      <c r="C65" s="736"/>
      <c r="D65" s="739"/>
      <c r="E65" s="740"/>
      <c r="F65" s="740"/>
      <c r="G65" s="740"/>
      <c r="H65" s="740"/>
      <c r="I65" s="740"/>
      <c r="J65" s="740"/>
      <c r="K65" s="740"/>
      <c r="L65" s="740"/>
      <c r="M65" s="740"/>
      <c r="N65" s="740"/>
      <c r="O65" s="740"/>
      <c r="P65" s="741"/>
      <c r="AL65" s="194"/>
      <c r="AM65" s="154"/>
      <c r="AN65" s="185"/>
      <c r="AO65" s="199"/>
      <c r="AP65" s="199"/>
      <c r="AQ65" s="199"/>
      <c r="AR65" s="199"/>
      <c r="AS65" s="199"/>
      <c r="AT65" s="199"/>
      <c r="AU65" s="199"/>
      <c r="AV65" s="185"/>
      <c r="AW65" s="185"/>
      <c r="AX65" s="185"/>
    </row>
    <row r="66" spans="2:50" x14ac:dyDescent="0.3">
      <c r="B66" s="737"/>
      <c r="C66" s="738"/>
      <c r="D66" s="742"/>
      <c r="E66" s="743"/>
      <c r="F66" s="743"/>
      <c r="G66" s="743"/>
      <c r="H66" s="743"/>
      <c r="I66" s="743"/>
      <c r="J66" s="743"/>
      <c r="K66" s="743"/>
      <c r="L66" s="743"/>
      <c r="M66" s="743"/>
      <c r="N66" s="743"/>
      <c r="O66" s="743"/>
      <c r="P66" s="744"/>
      <c r="AL66" s="194"/>
      <c r="AM66" s="154"/>
      <c r="AN66" s="185"/>
      <c r="AO66" s="172" t="s">
        <v>125</v>
      </c>
      <c r="AP66" s="160">
        <f>SQRT(SUMSQ(AP16:AP64))</f>
        <v>0</v>
      </c>
      <c r="AQ66" s="156" t="s">
        <v>98</v>
      </c>
      <c r="AR66" s="200"/>
      <c r="AS66" s="176" t="s">
        <v>126</v>
      </c>
      <c r="AT66" s="160">
        <f>SQRT(SUMSQ(AT16:AT64))</f>
        <v>0</v>
      </c>
      <c r="AU66" s="182" t="s">
        <v>265</v>
      </c>
      <c r="AV66" s="185"/>
      <c r="AW66" s="185"/>
      <c r="AX66" s="185"/>
    </row>
    <row r="67" spans="2:50" x14ac:dyDescent="0.3">
      <c r="B67" s="735"/>
      <c r="C67" s="736"/>
      <c r="D67" s="739"/>
      <c r="E67" s="740"/>
      <c r="F67" s="740"/>
      <c r="G67" s="740"/>
      <c r="H67" s="740"/>
      <c r="I67" s="740"/>
      <c r="J67" s="740"/>
      <c r="K67" s="740"/>
      <c r="L67" s="740"/>
      <c r="M67" s="740"/>
      <c r="N67" s="740"/>
      <c r="O67" s="740"/>
      <c r="P67" s="741"/>
      <c r="AL67" s="185"/>
      <c r="AM67" s="154"/>
      <c r="AN67" s="185"/>
      <c r="AO67" s="173" t="s">
        <v>263</v>
      </c>
      <c r="AP67" s="164">
        <f>AP15</f>
        <v>58.571766439527252</v>
      </c>
      <c r="AQ67" s="157" t="s">
        <v>98</v>
      </c>
      <c r="AR67" s="201"/>
      <c r="AS67" s="175" t="s">
        <v>264</v>
      </c>
      <c r="AT67" s="164">
        <f>AT15</f>
        <v>480</v>
      </c>
      <c r="AU67" s="183" t="s">
        <v>265</v>
      </c>
      <c r="AV67" s="185"/>
      <c r="AW67" s="185"/>
      <c r="AX67" s="185"/>
    </row>
    <row r="68" spans="2:50" ht="15" thickBot="1" x14ac:dyDescent="0.35">
      <c r="B68" s="737"/>
      <c r="C68" s="738"/>
      <c r="D68" s="742"/>
      <c r="E68" s="743"/>
      <c r="F68" s="743"/>
      <c r="G68" s="743"/>
      <c r="H68" s="743"/>
      <c r="I68" s="743"/>
      <c r="J68" s="743"/>
      <c r="K68" s="743"/>
      <c r="L68" s="743"/>
      <c r="M68" s="743"/>
      <c r="N68" s="743"/>
      <c r="O68" s="743"/>
      <c r="P68" s="744"/>
      <c r="AL68" s="185"/>
      <c r="AM68" s="185"/>
      <c r="AN68" s="185"/>
      <c r="AO68" s="174" t="s">
        <v>262</v>
      </c>
      <c r="AP68" s="169">
        <f>100*AP66/AP67</f>
        <v>0</v>
      </c>
      <c r="AQ68" s="345"/>
      <c r="AR68" s="202"/>
      <c r="AS68" s="177" t="s">
        <v>260</v>
      </c>
      <c r="AT68" s="169">
        <f>100*AT66/AT67</f>
        <v>0</v>
      </c>
      <c r="AU68" s="158"/>
      <c r="AV68" s="185"/>
      <c r="AW68" s="185"/>
      <c r="AX68" s="185"/>
    </row>
    <row r="69" spans="2:50" ht="15.75" customHeight="1" x14ac:dyDescent="0.3">
      <c r="B69" s="724" t="s">
        <v>351</v>
      </c>
      <c r="C69" s="725"/>
      <c r="D69" s="725"/>
      <c r="E69" s="725"/>
      <c r="F69" s="725"/>
      <c r="G69" s="725"/>
      <c r="H69" s="725"/>
      <c r="I69" s="725"/>
      <c r="J69" s="725"/>
      <c r="K69" s="725"/>
      <c r="L69" s="725"/>
      <c r="M69" s="725"/>
      <c r="N69" s="725"/>
      <c r="O69" s="725"/>
      <c r="P69" s="726"/>
      <c r="AL69" s="185"/>
      <c r="AM69" s="185"/>
      <c r="AN69" s="185"/>
      <c r="AV69" s="185"/>
      <c r="AW69" s="185"/>
      <c r="AX69" s="185"/>
    </row>
    <row r="70" spans="2:50" x14ac:dyDescent="0.3">
      <c r="B70" s="727"/>
      <c r="C70" s="728"/>
      <c r="D70" s="728"/>
      <c r="E70" s="728"/>
      <c r="F70" s="728"/>
      <c r="G70" s="728"/>
      <c r="H70" s="728"/>
      <c r="I70" s="728"/>
      <c r="J70" s="728"/>
      <c r="K70" s="728"/>
      <c r="L70" s="728"/>
      <c r="M70" s="728"/>
      <c r="N70" s="728"/>
      <c r="O70" s="728"/>
      <c r="P70" s="729"/>
    </row>
    <row r="71" spans="2:50" ht="15" customHeight="1" x14ac:dyDescent="0.3">
      <c r="B71" s="727"/>
      <c r="C71" s="728"/>
      <c r="D71" s="728"/>
      <c r="E71" s="728"/>
      <c r="F71" s="728"/>
      <c r="G71" s="728"/>
      <c r="H71" s="728"/>
      <c r="I71" s="728"/>
      <c r="J71" s="728"/>
      <c r="K71" s="728"/>
      <c r="L71" s="728"/>
      <c r="M71" s="728"/>
      <c r="N71" s="728"/>
      <c r="O71" s="728"/>
      <c r="P71" s="729"/>
    </row>
    <row r="72" spans="2:50" ht="15" thickBot="1" x14ac:dyDescent="0.35">
      <c r="B72" s="730"/>
      <c r="C72" s="731"/>
      <c r="D72" s="731"/>
      <c r="E72" s="731"/>
      <c r="F72" s="731"/>
      <c r="G72" s="731"/>
      <c r="H72" s="731"/>
      <c r="I72" s="731"/>
      <c r="J72" s="731"/>
      <c r="K72" s="731"/>
      <c r="L72" s="731"/>
      <c r="M72" s="731"/>
      <c r="N72" s="731"/>
      <c r="O72" s="731"/>
      <c r="P72" s="732"/>
    </row>
    <row r="76" spans="2:50" ht="14.4" customHeight="1" x14ac:dyDescent="0.3"/>
  </sheetData>
  <sheetProtection password="EDB7" sheet="1" objects="1" scenarios="1"/>
  <mergeCells count="173">
    <mergeCell ref="S57:U57"/>
    <mergeCell ref="B30:G30"/>
    <mergeCell ref="B38:C38"/>
    <mergeCell ref="I30:P30"/>
    <mergeCell ref="B69:P72"/>
    <mergeCell ref="B31:D31"/>
    <mergeCell ref="B63:C64"/>
    <mergeCell ref="D63:P64"/>
    <mergeCell ref="B65:C66"/>
    <mergeCell ref="D65:P66"/>
    <mergeCell ref="B67:C68"/>
    <mergeCell ref="D67:P68"/>
    <mergeCell ref="D55:P56"/>
    <mergeCell ref="B57:C58"/>
    <mergeCell ref="D57:P58"/>
    <mergeCell ref="B53:C54"/>
    <mergeCell ref="D53:P54"/>
    <mergeCell ref="B55:C56"/>
    <mergeCell ref="B59:C60"/>
    <mergeCell ref="D59:P60"/>
    <mergeCell ref="L48:L49"/>
    <mergeCell ref="L46:L47"/>
    <mergeCell ref="L44:L45"/>
    <mergeCell ref="E48:E49"/>
    <mergeCell ref="S28:U28"/>
    <mergeCell ref="R4:S4"/>
    <mergeCell ref="AU13:AU14"/>
    <mergeCell ref="S58:U58"/>
    <mergeCell ref="S62:U62"/>
    <mergeCell ref="S61:U61"/>
    <mergeCell ref="AO13:AO14"/>
    <mergeCell ref="AP13:AP14"/>
    <mergeCell ref="AQ13:AQ14"/>
    <mergeCell ref="AR13:AR14"/>
    <mergeCell ref="AS13:AS14"/>
    <mergeCell ref="AT13:AT14"/>
    <mergeCell ref="S40:U40"/>
    <mergeCell ref="S41:U41"/>
    <mergeCell ref="S42:U42"/>
    <mergeCell ref="S43:U43"/>
    <mergeCell ref="S44:U44"/>
    <mergeCell ref="S45:U45"/>
    <mergeCell ref="S24:U24"/>
    <mergeCell ref="S59:U59"/>
    <mergeCell ref="S25:U25"/>
    <mergeCell ref="S26:U26"/>
    <mergeCell ref="S27:U27"/>
    <mergeCell ref="S12:U12"/>
    <mergeCell ref="S13:U13"/>
    <mergeCell ref="S14:U14"/>
    <mergeCell ref="S15:U15"/>
    <mergeCell ref="S16:U16"/>
    <mergeCell ref="S17:U17"/>
    <mergeCell ref="S18:U18"/>
    <mergeCell ref="S23:U23"/>
    <mergeCell ref="S8:U8"/>
    <mergeCell ref="S9:U9"/>
    <mergeCell ref="S10:U10"/>
    <mergeCell ref="S11:U11"/>
    <mergeCell ref="S19:U19"/>
    <mergeCell ref="S20:U20"/>
    <mergeCell ref="S21:U21"/>
    <mergeCell ref="S22:U22"/>
    <mergeCell ref="AL10:AM10"/>
    <mergeCell ref="AN10:AR10"/>
    <mergeCell ref="AW10:AW11"/>
    <mergeCell ref="AX10:AX11"/>
    <mergeCell ref="AL11:AM11"/>
    <mergeCell ref="AN11:AR11"/>
    <mergeCell ref="AL12:AM12"/>
    <mergeCell ref="AN12:AR12"/>
    <mergeCell ref="AB4:AC4"/>
    <mergeCell ref="AL6:AM6"/>
    <mergeCell ref="AN6:AR6"/>
    <mergeCell ref="AV6:AW6"/>
    <mergeCell ref="AL7:AM7"/>
    <mergeCell ref="AN7:AR7"/>
    <mergeCell ref="AL8:AM8"/>
    <mergeCell ref="AN8:AR8"/>
    <mergeCell ref="AL9:AM9"/>
    <mergeCell ref="AN9:AR9"/>
    <mergeCell ref="Y2:Z2"/>
    <mergeCell ref="U2:X2"/>
    <mergeCell ref="AO2:AU2"/>
    <mergeCell ref="AV2:AX2"/>
    <mergeCell ref="AL4:AM4"/>
    <mergeCell ref="AL5:AM5"/>
    <mergeCell ref="AN5:AR5"/>
    <mergeCell ref="AV5:AW5"/>
    <mergeCell ref="AE2:AH2"/>
    <mergeCell ref="AI2:AJ2"/>
    <mergeCell ref="T4:Z4"/>
    <mergeCell ref="AD4:AJ4"/>
    <mergeCell ref="AN4:AX4"/>
    <mergeCell ref="S29:U29"/>
    <mergeCell ref="S30:U30"/>
    <mergeCell ref="S31:U31"/>
    <mergeCell ref="S54:U54"/>
    <mergeCell ref="S56:U56"/>
    <mergeCell ref="S46:U46"/>
    <mergeCell ref="S53:U53"/>
    <mergeCell ref="S55:U55"/>
    <mergeCell ref="S35:U35"/>
    <mergeCell ref="S36:U36"/>
    <mergeCell ref="S37:U37"/>
    <mergeCell ref="S38:U38"/>
    <mergeCell ref="S39:U39"/>
    <mergeCell ref="S47:U47"/>
    <mergeCell ref="S48:U48"/>
    <mergeCell ref="S49:U49"/>
    <mergeCell ref="S50:U50"/>
    <mergeCell ref="S51:U51"/>
    <mergeCell ref="S52:U52"/>
    <mergeCell ref="S32:U32"/>
    <mergeCell ref="S33:U33"/>
    <mergeCell ref="S34:U34"/>
    <mergeCell ref="B8:C8"/>
    <mergeCell ref="B9:C9"/>
    <mergeCell ref="B10:C10"/>
    <mergeCell ref="B11:C11"/>
    <mergeCell ref="B12:C12"/>
    <mergeCell ref="E2:M2"/>
    <mergeCell ref="B4:C4"/>
    <mergeCell ref="D4:P4"/>
    <mergeCell ref="B5:C5"/>
    <mergeCell ref="D5:P5"/>
    <mergeCell ref="B6:C6"/>
    <mergeCell ref="D6:P6"/>
    <mergeCell ref="B7:C7"/>
    <mergeCell ref="D7:P7"/>
    <mergeCell ref="N2:P2"/>
    <mergeCell ref="D8:P8"/>
    <mergeCell ref="D9:P9"/>
    <mergeCell ref="D10:P10"/>
    <mergeCell ref="D11:P11"/>
    <mergeCell ref="D12:P12"/>
    <mergeCell ref="N24:N27"/>
    <mergeCell ref="B26:D26"/>
    <mergeCell ref="B27:D27"/>
    <mergeCell ref="B28:D28"/>
    <mergeCell ref="B14:E14"/>
    <mergeCell ref="G14:J14"/>
    <mergeCell ref="B15:D15"/>
    <mergeCell ref="G17:G20"/>
    <mergeCell ref="N17:N20"/>
    <mergeCell ref="B19:D19"/>
    <mergeCell ref="B20:D20"/>
    <mergeCell ref="B21:D21"/>
    <mergeCell ref="B22:D22"/>
    <mergeCell ref="B24:D24"/>
    <mergeCell ref="B25:D25"/>
    <mergeCell ref="B23:D23"/>
    <mergeCell ref="B16:D16"/>
    <mergeCell ref="B17:D17"/>
    <mergeCell ref="B18:D18"/>
    <mergeCell ref="B61:C62"/>
    <mergeCell ref="D61:P62"/>
    <mergeCell ref="B36:D36"/>
    <mergeCell ref="B37:D37"/>
    <mergeCell ref="B39:C39"/>
    <mergeCell ref="B52:E52"/>
    <mergeCell ref="M42:P49"/>
    <mergeCell ref="F41:P41"/>
    <mergeCell ref="F42:L43"/>
    <mergeCell ref="B42:E43"/>
    <mergeCell ref="F48:K49"/>
    <mergeCell ref="F46:K47"/>
    <mergeCell ref="F44:K45"/>
    <mergeCell ref="E46:E47"/>
    <mergeCell ref="E44:E45"/>
    <mergeCell ref="B48:D49"/>
    <mergeCell ref="B46:D47"/>
    <mergeCell ref="B44:D45"/>
  </mergeCells>
  <conditionalFormatting sqref="G17:I20">
    <cfRule type="expression" dxfId="13" priority="8">
      <formula>$A$1=100</formula>
    </cfRule>
  </conditionalFormatting>
  <conditionalFormatting sqref="B17:B25">
    <cfRule type="expression" dxfId="12" priority="7">
      <formula>$H$4="GENERATOR"</formula>
    </cfRule>
  </conditionalFormatting>
  <dataValidations disablePrompts="1" count="2">
    <dataValidation type="list" allowBlank="1" showInputMessage="1" showErrorMessage="1" sqref="AX13" xr:uid="{00000000-0002-0000-0200-000000000000}">
      <formula1>#REF!</formula1>
    </dataValidation>
    <dataValidation type="list" allowBlank="1" showErrorMessage="1" sqref="B59 B53 B55 B57 B61 B63" xr:uid="{00000000-0002-0000-0200-000001000000}">
      <formula1>Qual_Notes</formula1>
    </dataValidation>
  </dataValidations>
  <pageMargins left="0.7" right="0.7" top="0.75" bottom="0.75" header="0.3" footer="0.3"/>
  <pageSetup scale="60" fitToWidth="0" orientation="portrait" r:id="rId1"/>
  <colBreaks count="3" manualBreakCount="3">
    <brk id="16" max="1048575" man="1"/>
    <brk id="26" max="1048575" man="1"/>
    <brk id="36"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3" id="{83A8BB1F-72E3-4B22-9415-9B93FC6C738D}">
            <xm:f>Power!$AF$35="PASS"</xm:f>
            <x14:dxf>
              <fill>
                <patternFill>
                  <bgColor theme="9" tint="0.59996337778862885"/>
                </patternFill>
              </fill>
            </x14:dxf>
          </x14:cfRule>
          <x14:cfRule type="expression" priority="4" id="{766881A6-7F12-4578-88A9-BB37563819FC}">
            <xm:f>Power!$AF$35="FAIL"</xm:f>
            <x14:dxf>
              <fill>
                <patternFill>
                  <bgColor rgb="FFFF9999"/>
                </patternFill>
              </fill>
            </x14:dxf>
          </x14:cfRule>
          <xm:sqref>F42</xm:sqref>
        </x14:conditionalFormatting>
        <x14:conditionalFormatting xmlns:xm="http://schemas.microsoft.com/office/excel/2006/main">
          <x14:cfRule type="expression" priority="1" id="{55BDF53C-42EF-4068-B242-B3326E44D940}">
            <xm:f>Power!$AF$35="PASS"</xm:f>
            <x14:dxf>
              <fill>
                <patternFill>
                  <bgColor theme="9" tint="0.59996337778862885"/>
                </patternFill>
              </fill>
            </x14:dxf>
          </x14:cfRule>
          <x14:cfRule type="expression" priority="2" id="{1614F1A4-FF71-4C7C-9B14-C2DE484011C2}">
            <xm:f>Power!$AF$35="FAIL"</xm:f>
            <x14:dxf>
              <fill>
                <patternFill>
                  <bgColor rgb="FFFF9999"/>
                </patternFill>
              </fill>
            </x14:dxf>
          </x14:cfRule>
          <xm:sqref>M42</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U118"/>
  <sheetViews>
    <sheetView workbookViewId="0"/>
  </sheetViews>
  <sheetFormatPr defaultRowHeight="13.2" x14ac:dyDescent="0.25"/>
  <cols>
    <col min="1" max="7" width="9.109375" style="26"/>
    <col min="8" max="8" width="10.6640625" style="26" customWidth="1"/>
    <col min="9" max="263" width="9.109375" style="26"/>
    <col min="264" max="264" width="10.6640625" style="26" customWidth="1"/>
    <col min="265" max="519" width="9.109375" style="26"/>
    <col min="520" max="520" width="10.6640625" style="26" customWidth="1"/>
    <col min="521" max="775" width="9.109375" style="26"/>
    <col min="776" max="776" width="10.6640625" style="26" customWidth="1"/>
    <col min="777" max="1031" width="9.109375" style="26"/>
    <col min="1032" max="1032" width="10.6640625" style="26" customWidth="1"/>
    <col min="1033" max="1287" width="9.109375" style="26"/>
    <col min="1288" max="1288" width="10.6640625" style="26" customWidth="1"/>
    <col min="1289" max="1543" width="9.109375" style="26"/>
    <col min="1544" max="1544" width="10.6640625" style="26" customWidth="1"/>
    <col min="1545" max="1799" width="9.109375" style="26"/>
    <col min="1800" max="1800" width="10.6640625" style="26" customWidth="1"/>
    <col min="1801" max="2055" width="9.109375" style="26"/>
    <col min="2056" max="2056" width="10.6640625" style="26" customWidth="1"/>
    <col min="2057" max="2311" width="9.109375" style="26"/>
    <col min="2312" max="2312" width="10.6640625" style="26" customWidth="1"/>
    <col min="2313" max="2567" width="9.109375" style="26"/>
    <col min="2568" max="2568" width="10.6640625" style="26" customWidth="1"/>
    <col min="2569" max="2823" width="9.109375" style="26"/>
    <col min="2824" max="2824" width="10.6640625" style="26" customWidth="1"/>
    <col min="2825" max="3079" width="9.109375" style="26"/>
    <col min="3080" max="3080" width="10.6640625" style="26" customWidth="1"/>
    <col min="3081" max="3335" width="9.109375" style="26"/>
    <col min="3336" max="3336" width="10.6640625" style="26" customWidth="1"/>
    <col min="3337" max="3591" width="9.109375" style="26"/>
    <col min="3592" max="3592" width="10.6640625" style="26" customWidth="1"/>
    <col min="3593" max="3847" width="9.109375" style="26"/>
    <col min="3848" max="3848" width="10.6640625" style="26" customWidth="1"/>
    <col min="3849" max="4103" width="9.109375" style="26"/>
    <col min="4104" max="4104" width="10.6640625" style="26" customWidth="1"/>
    <col min="4105" max="4359" width="9.109375" style="26"/>
    <col min="4360" max="4360" width="10.6640625" style="26" customWidth="1"/>
    <col min="4361" max="4615" width="9.109375" style="26"/>
    <col min="4616" max="4616" width="10.6640625" style="26" customWidth="1"/>
    <col min="4617" max="4871" width="9.109375" style="26"/>
    <col min="4872" max="4872" width="10.6640625" style="26" customWidth="1"/>
    <col min="4873" max="5127" width="9.109375" style="26"/>
    <col min="5128" max="5128" width="10.6640625" style="26" customWidth="1"/>
    <col min="5129" max="5383" width="9.109375" style="26"/>
    <col min="5384" max="5384" width="10.6640625" style="26" customWidth="1"/>
    <col min="5385" max="5639" width="9.109375" style="26"/>
    <col min="5640" max="5640" width="10.6640625" style="26" customWidth="1"/>
    <col min="5641" max="5895" width="9.109375" style="26"/>
    <col min="5896" max="5896" width="10.6640625" style="26" customWidth="1"/>
    <col min="5897" max="6151" width="9.109375" style="26"/>
    <col min="6152" max="6152" width="10.6640625" style="26" customWidth="1"/>
    <col min="6153" max="6407" width="9.109375" style="26"/>
    <col min="6408" max="6408" width="10.6640625" style="26" customWidth="1"/>
    <col min="6409" max="6663" width="9.109375" style="26"/>
    <col min="6664" max="6664" width="10.6640625" style="26" customWidth="1"/>
    <col min="6665" max="6919" width="9.109375" style="26"/>
    <col min="6920" max="6920" width="10.6640625" style="26" customWidth="1"/>
    <col min="6921" max="7175" width="9.109375" style="26"/>
    <col min="7176" max="7176" width="10.6640625" style="26" customWidth="1"/>
    <col min="7177" max="7431" width="9.109375" style="26"/>
    <col min="7432" max="7432" width="10.6640625" style="26" customWidth="1"/>
    <col min="7433" max="7687" width="9.109375" style="26"/>
    <col min="7688" max="7688" width="10.6640625" style="26" customWidth="1"/>
    <col min="7689" max="7943" width="9.109375" style="26"/>
    <col min="7944" max="7944" width="10.6640625" style="26" customWidth="1"/>
    <col min="7945" max="8199" width="9.109375" style="26"/>
    <col min="8200" max="8200" width="10.6640625" style="26" customWidth="1"/>
    <col min="8201" max="8455" width="9.109375" style="26"/>
    <col min="8456" max="8456" width="10.6640625" style="26" customWidth="1"/>
    <col min="8457" max="8711" width="9.109375" style="26"/>
    <col min="8712" max="8712" width="10.6640625" style="26" customWidth="1"/>
    <col min="8713" max="8967" width="9.109375" style="26"/>
    <col min="8968" max="8968" width="10.6640625" style="26" customWidth="1"/>
    <col min="8969" max="9223" width="9.109375" style="26"/>
    <col min="9224" max="9224" width="10.6640625" style="26" customWidth="1"/>
    <col min="9225" max="9479" width="9.109375" style="26"/>
    <col min="9480" max="9480" width="10.6640625" style="26" customWidth="1"/>
    <col min="9481" max="9735" width="9.109375" style="26"/>
    <col min="9736" max="9736" width="10.6640625" style="26" customWidth="1"/>
    <col min="9737" max="9991" width="9.109375" style="26"/>
    <col min="9992" max="9992" width="10.6640625" style="26" customWidth="1"/>
    <col min="9993" max="10247" width="9.109375" style="26"/>
    <col min="10248" max="10248" width="10.6640625" style="26" customWidth="1"/>
    <col min="10249" max="10503" width="9.109375" style="26"/>
    <col min="10504" max="10504" width="10.6640625" style="26" customWidth="1"/>
    <col min="10505" max="10759" width="9.109375" style="26"/>
    <col min="10760" max="10760" width="10.6640625" style="26" customWidth="1"/>
    <col min="10761" max="11015" width="9.109375" style="26"/>
    <col min="11016" max="11016" width="10.6640625" style="26" customWidth="1"/>
    <col min="11017" max="11271" width="9.109375" style="26"/>
    <col min="11272" max="11272" width="10.6640625" style="26" customWidth="1"/>
    <col min="11273" max="11527" width="9.109375" style="26"/>
    <col min="11528" max="11528" width="10.6640625" style="26" customWidth="1"/>
    <col min="11529" max="11783" width="9.109375" style="26"/>
    <col min="11784" max="11784" width="10.6640625" style="26" customWidth="1"/>
    <col min="11785" max="12039" width="9.109375" style="26"/>
    <col min="12040" max="12040" width="10.6640625" style="26" customWidth="1"/>
    <col min="12041" max="12295" width="9.109375" style="26"/>
    <col min="12296" max="12296" width="10.6640625" style="26" customWidth="1"/>
    <col min="12297" max="12551" width="9.109375" style="26"/>
    <col min="12552" max="12552" width="10.6640625" style="26" customWidth="1"/>
    <col min="12553" max="12807" width="9.109375" style="26"/>
    <col min="12808" max="12808" width="10.6640625" style="26" customWidth="1"/>
    <col min="12809" max="13063" width="9.109375" style="26"/>
    <col min="13064" max="13064" width="10.6640625" style="26" customWidth="1"/>
    <col min="13065" max="13319" width="9.109375" style="26"/>
    <col min="13320" max="13320" width="10.6640625" style="26" customWidth="1"/>
    <col min="13321" max="13575" width="9.109375" style="26"/>
    <col min="13576" max="13576" width="10.6640625" style="26" customWidth="1"/>
    <col min="13577" max="13831" width="9.109375" style="26"/>
    <col min="13832" max="13832" width="10.6640625" style="26" customWidth="1"/>
    <col min="13833" max="14087" width="9.109375" style="26"/>
    <col min="14088" max="14088" width="10.6640625" style="26" customWidth="1"/>
    <col min="14089" max="14343" width="9.109375" style="26"/>
    <col min="14344" max="14344" width="10.6640625" style="26" customWidth="1"/>
    <col min="14345" max="14599" width="9.109375" style="26"/>
    <col min="14600" max="14600" width="10.6640625" style="26" customWidth="1"/>
    <col min="14601" max="14855" width="9.109375" style="26"/>
    <col min="14856" max="14856" width="10.6640625" style="26" customWidth="1"/>
    <col min="14857" max="15111" width="9.109375" style="26"/>
    <col min="15112" max="15112" width="10.6640625" style="26" customWidth="1"/>
    <col min="15113" max="15367" width="9.109375" style="26"/>
    <col min="15368" max="15368" width="10.6640625" style="26" customWidth="1"/>
    <col min="15369" max="15623" width="9.109375" style="26"/>
    <col min="15624" max="15624" width="10.6640625" style="26" customWidth="1"/>
    <col min="15625" max="15879" width="9.109375" style="26"/>
    <col min="15880" max="15880" width="10.6640625" style="26" customWidth="1"/>
    <col min="15881" max="16135" width="9.109375" style="26"/>
    <col min="16136" max="16136" width="10.6640625" style="26" customWidth="1"/>
    <col min="16137" max="16384" width="9.109375" style="26"/>
  </cols>
  <sheetData>
    <row r="1" spans="1:15" ht="13.8" thickBot="1" x14ac:dyDescent="0.3">
      <c r="A1" s="84" t="s">
        <v>287</v>
      </c>
      <c r="B1" s="275" t="s">
        <v>402</v>
      </c>
      <c r="C1" s="33">
        <f>Drives!BA30</f>
        <v>38490.017945975058</v>
      </c>
      <c r="D1" s="28" t="s">
        <v>7</v>
      </c>
      <c r="E1" s="300">
        <v>5</v>
      </c>
      <c r="F1" s="301">
        <f>MAX(0.1,E1+100/C1)</f>
        <v>5.0025980762113536</v>
      </c>
      <c r="G1" s="36" t="s">
        <v>1</v>
      </c>
      <c r="H1" s="29">
        <f>IF(J1=0,0,H4/J1)</f>
        <v>0</v>
      </c>
      <c r="I1" s="26" t="s">
        <v>13</v>
      </c>
      <c r="J1" s="34">
        <f>Drives!Z30</f>
        <v>0</v>
      </c>
      <c r="K1" s="26" t="s">
        <v>84</v>
      </c>
      <c r="N1" s="254">
        <v>0.96499999999999997</v>
      </c>
      <c r="O1" s="26" t="s">
        <v>176</v>
      </c>
    </row>
    <row r="2" spans="1:15" x14ac:dyDescent="0.25">
      <c r="A2" s="269" t="s">
        <v>88</v>
      </c>
      <c r="B2" s="276">
        <v>30</v>
      </c>
      <c r="D2" s="26">
        <f>C4+1</f>
        <v>7</v>
      </c>
      <c r="E2" s="41">
        <f>F1-C3</f>
        <v>2.5980762113535505E-3</v>
      </c>
      <c r="F2" s="36"/>
      <c r="G2" s="36"/>
      <c r="J2" s="29">
        <f>IF(J1&gt;=0.2,(0.48+(J1-0.2)*0.65),(J1*2.4))</f>
        <v>0</v>
      </c>
      <c r="K2" s="26" t="s">
        <v>60</v>
      </c>
    </row>
    <row r="3" spans="1:15" ht="13.8" thickBot="1" x14ac:dyDescent="0.3">
      <c r="A3" s="270" t="s">
        <v>91</v>
      </c>
      <c r="C3" s="41">
        <f>HLOOKUP($F$1,$D$62:$U$113,(B3+1))</f>
        <v>5</v>
      </c>
      <c r="D3" s="41">
        <f>HLOOKUP($D$2,$D$61:$U$113,(B3+2))</f>
        <v>6</v>
      </c>
      <c r="E3" s="26">
        <f>D3-C3</f>
        <v>1</v>
      </c>
      <c r="F3" s="26">
        <f>IF(E3=0,1,E2/E3)</f>
        <v>2.5980762113535505E-3</v>
      </c>
      <c r="G3" s="32">
        <f>C3+(E3*F3)</f>
        <v>5.0025980762113536</v>
      </c>
    </row>
    <row r="4" spans="1:15" ht="13.8" thickBot="1" x14ac:dyDescent="0.3">
      <c r="A4" s="31" t="s">
        <v>90</v>
      </c>
      <c r="B4" s="26">
        <v>1</v>
      </c>
      <c r="C4" s="302">
        <f t="shared" ref="C4:C53" si="0">HLOOKUP($F$1,$D$62:$U$113,(B4+1))</f>
        <v>6</v>
      </c>
      <c r="D4" s="302">
        <f t="shared" ref="D4:D53" si="1">HLOOKUP($D$2,$D$61:$U$113,(B4+2))</f>
        <v>7</v>
      </c>
      <c r="G4" s="27">
        <v>100</v>
      </c>
      <c r="H4" s="34">
        <f>Drives!AR30</f>
        <v>0</v>
      </c>
      <c r="I4" s="26" t="s">
        <v>53</v>
      </c>
    </row>
    <row r="5" spans="1:15" x14ac:dyDescent="0.25">
      <c r="A5" s="31"/>
      <c r="B5" s="26">
        <v>2</v>
      </c>
      <c r="C5" s="52">
        <f t="shared" si="0"/>
        <v>1.0787351058726545E-2</v>
      </c>
      <c r="D5" s="52">
        <f t="shared" si="1"/>
        <v>1.5488830696511377E-2</v>
      </c>
      <c r="E5" s="48">
        <f t="shared" ref="E5:E53" si="2">D5-C5</f>
        <v>4.7014796377848316E-3</v>
      </c>
      <c r="F5" s="48">
        <f t="shared" ref="F5:F53" si="3">E5*$F$3</f>
        <v>1.2214802405091878E-5</v>
      </c>
      <c r="G5" s="48">
        <f t="shared" ref="G5:G53" si="4">C5+F5</f>
        <v>1.0799565861131637E-2</v>
      </c>
      <c r="H5" s="30">
        <f t="shared" ref="H5:H53" si="5">J$2*G5*$H$1/100</f>
        <v>0</v>
      </c>
    </row>
    <row r="6" spans="1:15" x14ac:dyDescent="0.25">
      <c r="A6" s="43" t="s">
        <v>93</v>
      </c>
      <c r="B6" s="26">
        <v>3</v>
      </c>
      <c r="C6" s="52">
        <f t="shared" si="0"/>
        <v>7.7608557639223745</v>
      </c>
      <c r="D6" s="52">
        <f t="shared" si="1"/>
        <v>5.1365577880102951</v>
      </c>
      <c r="E6" s="48">
        <f t="shared" si="2"/>
        <v>-2.6242979759120795</v>
      </c>
      <c r="F6" s="48">
        <f t="shared" si="3"/>
        <v>-6.8181261427204464E-3</v>
      </c>
      <c r="G6" s="48">
        <f t="shared" si="4"/>
        <v>7.7540376377796543</v>
      </c>
      <c r="H6" s="30">
        <f t="shared" si="5"/>
        <v>0</v>
      </c>
    </row>
    <row r="7" spans="1:15" x14ac:dyDescent="0.25">
      <c r="A7" s="43" t="s">
        <v>92</v>
      </c>
      <c r="B7" s="26">
        <v>4</v>
      </c>
      <c r="C7" s="52">
        <f t="shared" si="0"/>
        <v>1.8916758051922035E-2</v>
      </c>
      <c r="D7" s="52">
        <f t="shared" si="1"/>
        <v>2.4591818946340816E-2</v>
      </c>
      <c r="E7" s="48">
        <f t="shared" si="2"/>
        <v>5.6750608944187812E-3</v>
      </c>
      <c r="F7" s="48">
        <f t="shared" si="3"/>
        <v>1.4744240707772238E-5</v>
      </c>
      <c r="G7" s="48">
        <f t="shared" si="4"/>
        <v>1.8931502292629809E-2</v>
      </c>
      <c r="H7" s="30">
        <f t="shared" si="5"/>
        <v>0</v>
      </c>
    </row>
    <row r="8" spans="1:15" x14ac:dyDescent="0.25">
      <c r="B8" s="26">
        <v>5</v>
      </c>
      <c r="C8" s="52">
        <f t="shared" si="0"/>
        <v>37.27946499417164</v>
      </c>
      <c r="D8" s="52">
        <f t="shared" si="1"/>
        <v>34.240442443062605</v>
      </c>
      <c r="E8" s="48">
        <f t="shared" si="2"/>
        <v>-3.039022551109035</v>
      </c>
      <c r="F8" s="48">
        <f t="shared" si="3"/>
        <v>-7.8956121958033629E-3</v>
      </c>
      <c r="G8" s="48">
        <f t="shared" si="4"/>
        <v>37.271569381975837</v>
      </c>
      <c r="H8" s="30">
        <f t="shared" si="5"/>
        <v>0</v>
      </c>
    </row>
    <row r="9" spans="1:15" x14ac:dyDescent="0.25">
      <c r="B9" s="26">
        <v>6</v>
      </c>
      <c r="C9" s="52">
        <f t="shared" si="0"/>
        <v>6.7285132893848583E-3</v>
      </c>
      <c r="D9" s="52">
        <f t="shared" si="1"/>
        <v>4.5194792975590103E-3</v>
      </c>
      <c r="E9" s="48">
        <f t="shared" si="2"/>
        <v>-2.209033991825848E-3</v>
      </c>
      <c r="F9" s="48">
        <f t="shared" si="3"/>
        <v>-5.7392386642341094E-6</v>
      </c>
      <c r="G9" s="48">
        <f t="shared" si="4"/>
        <v>6.7227740507206238E-3</v>
      </c>
      <c r="H9" s="30">
        <f t="shared" si="5"/>
        <v>0</v>
      </c>
    </row>
    <row r="10" spans="1:15" x14ac:dyDescent="0.25">
      <c r="B10" s="26">
        <v>7</v>
      </c>
      <c r="C10" s="52">
        <f t="shared" si="0"/>
        <v>10.407370469722119</v>
      </c>
      <c r="D10" s="52">
        <f t="shared" si="1"/>
        <v>8.4234250472584673</v>
      </c>
      <c r="E10" s="48">
        <f t="shared" si="2"/>
        <v>-1.9839454224636519</v>
      </c>
      <c r="F10" s="48">
        <f t="shared" si="3"/>
        <v>-5.1544414067265839E-3</v>
      </c>
      <c r="G10" s="48">
        <f t="shared" si="4"/>
        <v>10.402216028315392</v>
      </c>
      <c r="H10" s="30">
        <f t="shared" si="5"/>
        <v>0</v>
      </c>
    </row>
    <row r="11" spans="1:15" x14ac:dyDescent="0.25">
      <c r="B11" s="26">
        <v>8</v>
      </c>
      <c r="C11" s="52">
        <f t="shared" si="0"/>
        <v>1.9603945043945102E-2</v>
      </c>
      <c r="D11" s="52">
        <f t="shared" si="1"/>
        <v>1.2636657164619786E-2</v>
      </c>
      <c r="E11" s="48">
        <f t="shared" si="2"/>
        <v>-6.9672878793253165E-3</v>
      </c>
      <c r="F11" s="48">
        <f t="shared" si="3"/>
        <v>-1.8101544896927033E-5</v>
      </c>
      <c r="G11" s="48">
        <f t="shared" si="4"/>
        <v>1.9585843499048176E-2</v>
      </c>
      <c r="H11" s="30">
        <f t="shared" si="5"/>
        <v>0</v>
      </c>
    </row>
    <row r="12" spans="1:15" x14ac:dyDescent="0.25">
      <c r="B12" s="26">
        <v>9</v>
      </c>
      <c r="C12" s="52">
        <f t="shared" si="0"/>
        <v>1.5532650518305111</v>
      </c>
      <c r="D12" s="52">
        <f t="shared" si="1"/>
        <v>0.98716445545758624</v>
      </c>
      <c r="E12" s="48">
        <f t="shared" si="2"/>
        <v>-0.56610059637292487</v>
      </c>
      <c r="F12" s="48">
        <f t="shared" si="3"/>
        <v>-1.4707724926695542E-3</v>
      </c>
      <c r="G12" s="48">
        <f t="shared" si="4"/>
        <v>1.5517942793378416</v>
      </c>
      <c r="H12" s="30">
        <f t="shared" si="5"/>
        <v>0</v>
      </c>
    </row>
    <row r="13" spans="1:15" x14ac:dyDescent="0.25">
      <c r="B13" s="26">
        <v>10</v>
      </c>
      <c r="C13" s="52">
        <f t="shared" si="0"/>
        <v>1.2351163020258928E-2</v>
      </c>
      <c r="D13" s="52">
        <f t="shared" si="1"/>
        <v>7.8770677291336265E-3</v>
      </c>
      <c r="E13" s="48">
        <f t="shared" si="2"/>
        <v>-4.4740952911253018E-3</v>
      </c>
      <c r="F13" s="48">
        <f t="shared" si="3"/>
        <v>-1.1624040543201584E-5</v>
      </c>
      <c r="G13" s="48">
        <f t="shared" si="4"/>
        <v>1.2339538979715728E-2</v>
      </c>
      <c r="H13" s="30">
        <f t="shared" si="5"/>
        <v>0</v>
      </c>
    </row>
    <row r="14" spans="1:15" x14ac:dyDescent="0.25">
      <c r="B14" s="26">
        <v>11</v>
      </c>
      <c r="C14" s="52">
        <f t="shared" si="0"/>
        <v>6.9055670232180777</v>
      </c>
      <c r="D14" s="52">
        <f t="shared" si="1"/>
        <v>6.5341193000171698</v>
      </c>
      <c r="E14" s="48">
        <f t="shared" si="2"/>
        <v>-0.37144772320090791</v>
      </c>
      <c r="F14" s="48">
        <f t="shared" si="3"/>
        <v>-9.6504949340971711E-4</v>
      </c>
      <c r="G14" s="48">
        <f t="shared" si="4"/>
        <v>6.9046019737246676</v>
      </c>
      <c r="H14" s="30">
        <f t="shared" si="5"/>
        <v>0</v>
      </c>
    </row>
    <row r="15" spans="1:15" x14ac:dyDescent="0.25">
      <c r="B15" s="26">
        <v>12</v>
      </c>
      <c r="C15" s="52">
        <f t="shared" si="0"/>
        <v>4.6340307760456886E-3</v>
      </c>
      <c r="D15" s="52">
        <f t="shared" si="1"/>
        <v>1.2658928420938899E-3</v>
      </c>
      <c r="E15" s="48">
        <f t="shared" si="2"/>
        <v>-3.3681379339517989E-3</v>
      </c>
      <c r="F15" s="48">
        <f t="shared" si="3"/>
        <v>-8.7506790427576641E-6</v>
      </c>
      <c r="G15" s="48">
        <f t="shared" si="4"/>
        <v>4.6252800970029307E-3</v>
      </c>
      <c r="H15" s="30">
        <f t="shared" si="5"/>
        <v>0</v>
      </c>
    </row>
    <row r="16" spans="1:15" x14ac:dyDescent="0.25">
      <c r="B16" s="26">
        <v>13</v>
      </c>
      <c r="C16" s="52">
        <f t="shared" si="0"/>
        <v>3.2687886565984781</v>
      </c>
      <c r="D16" s="52">
        <f t="shared" si="1"/>
        <v>3.1927019928471165</v>
      </c>
      <c r="E16" s="48">
        <f t="shared" si="2"/>
        <v>-7.6086663751361527E-2</v>
      </c>
      <c r="F16" s="48">
        <f t="shared" si="3"/>
        <v>-1.9767895109366887E-4</v>
      </c>
      <c r="G16" s="48">
        <f t="shared" si="4"/>
        <v>3.2685909776473845</v>
      </c>
      <c r="H16" s="30">
        <f t="shared" si="5"/>
        <v>0</v>
      </c>
    </row>
    <row r="17" spans="2:8" x14ac:dyDescent="0.25">
      <c r="B17" s="26">
        <v>14</v>
      </c>
      <c r="C17" s="52">
        <f t="shared" si="0"/>
        <v>1.3986444352451872E-2</v>
      </c>
      <c r="D17" s="52">
        <f t="shared" si="1"/>
        <v>1.3726550136797936E-2</v>
      </c>
      <c r="E17" s="48">
        <f t="shared" si="2"/>
        <v>-2.5989421565393578E-4</v>
      </c>
      <c r="F17" s="48">
        <f t="shared" si="3"/>
        <v>-6.7522497915888008E-7</v>
      </c>
      <c r="G17" s="48">
        <f t="shared" si="4"/>
        <v>1.3985769127472713E-2</v>
      </c>
      <c r="H17" s="30">
        <f t="shared" si="5"/>
        <v>0</v>
      </c>
    </row>
    <row r="18" spans="2:8" x14ac:dyDescent="0.25">
      <c r="B18" s="26">
        <v>15</v>
      </c>
      <c r="C18" s="52">
        <f t="shared" si="0"/>
        <v>0.7739736036483279</v>
      </c>
      <c r="D18" s="52">
        <f t="shared" si="1"/>
        <v>0.47689818111624066</v>
      </c>
      <c r="E18" s="48">
        <f t="shared" si="2"/>
        <v>-0.29707542253208724</v>
      </c>
      <c r="F18" s="48">
        <f t="shared" si="3"/>
        <v>-7.7182458825842044E-4</v>
      </c>
      <c r="G18" s="48">
        <f t="shared" si="4"/>
        <v>0.77320177906006948</v>
      </c>
      <c r="H18" s="30">
        <f t="shared" si="5"/>
        <v>0</v>
      </c>
    </row>
    <row r="19" spans="2:8" x14ac:dyDescent="0.25">
      <c r="B19" s="26">
        <v>16</v>
      </c>
      <c r="C19" s="52">
        <f t="shared" si="0"/>
        <v>9.3355107602731344E-3</v>
      </c>
      <c r="D19" s="52">
        <f t="shared" si="1"/>
        <v>1.1176506405604431E-2</v>
      </c>
      <c r="E19" s="48">
        <f t="shared" si="2"/>
        <v>1.8409956453312969E-3</v>
      </c>
      <c r="F19" s="48">
        <f t="shared" si="3"/>
        <v>4.7830469913407204E-6</v>
      </c>
      <c r="G19" s="48">
        <f t="shared" si="4"/>
        <v>9.3402938072644753E-3</v>
      </c>
      <c r="H19" s="30">
        <f t="shared" si="5"/>
        <v>0</v>
      </c>
    </row>
    <row r="20" spans="2:8" x14ac:dyDescent="0.25">
      <c r="B20" s="26">
        <v>17</v>
      </c>
      <c r="C20" s="52">
        <f t="shared" si="0"/>
        <v>2.7954962272937816</v>
      </c>
      <c r="D20" s="52">
        <f t="shared" si="1"/>
        <v>2.4617473384512585</v>
      </c>
      <c r="E20" s="48">
        <f t="shared" si="2"/>
        <v>-0.33374888884252307</v>
      </c>
      <c r="F20" s="48">
        <f t="shared" si="3"/>
        <v>-8.6710504866743961E-4</v>
      </c>
      <c r="G20" s="48">
        <f t="shared" si="4"/>
        <v>2.7946291222451141</v>
      </c>
      <c r="H20" s="30">
        <f t="shared" si="5"/>
        <v>0</v>
      </c>
    </row>
    <row r="21" spans="2:8" x14ac:dyDescent="0.25">
      <c r="B21" s="26">
        <v>18</v>
      </c>
      <c r="C21" s="52">
        <f t="shared" si="0"/>
        <v>3.2624660891922676E-3</v>
      </c>
      <c r="D21" s="52">
        <f t="shared" si="1"/>
        <v>9.7248963017647263E-4</v>
      </c>
      <c r="E21" s="48">
        <f t="shared" si="2"/>
        <v>-2.289976459015795E-3</v>
      </c>
      <c r="F21" s="48">
        <f t="shared" si="3"/>
        <v>-5.9495333627285755E-6</v>
      </c>
      <c r="G21" s="48">
        <f t="shared" si="4"/>
        <v>3.2565165558295392E-3</v>
      </c>
      <c r="H21" s="30">
        <f t="shared" si="5"/>
        <v>0</v>
      </c>
    </row>
    <row r="22" spans="2:8" x14ac:dyDescent="0.25">
      <c r="B22" s="26">
        <v>19</v>
      </c>
      <c r="C22" s="52">
        <f t="shared" si="0"/>
        <v>1.8152549557696753</v>
      </c>
      <c r="D22" s="52">
        <f t="shared" si="1"/>
        <v>1.7533389509717254</v>
      </c>
      <c r="E22" s="48">
        <f t="shared" si="2"/>
        <v>-6.1916004797949897E-2</v>
      </c>
      <c r="F22" s="48">
        <f t="shared" si="3"/>
        <v>-1.6086249916760594E-4</v>
      </c>
      <c r="G22" s="48">
        <f t="shared" si="4"/>
        <v>1.8150940932705077</v>
      </c>
      <c r="H22" s="30">
        <f t="shared" si="5"/>
        <v>0</v>
      </c>
    </row>
    <row r="23" spans="2:8" x14ac:dyDescent="0.25">
      <c r="B23" s="26">
        <v>20</v>
      </c>
      <c r="C23" s="52">
        <f t="shared" si="0"/>
        <v>1.1519216055600136E-2</v>
      </c>
      <c r="D23" s="52">
        <f t="shared" si="1"/>
        <v>1.2482583619361326E-2</v>
      </c>
      <c r="E23" s="48">
        <f t="shared" si="2"/>
        <v>9.633675637611902E-4</v>
      </c>
      <c r="F23" s="48">
        <f t="shared" si="3"/>
        <v>2.502902350197573E-6</v>
      </c>
      <c r="G23" s="48">
        <f t="shared" si="4"/>
        <v>1.1521718957950334E-2</v>
      </c>
      <c r="H23" s="30">
        <f t="shared" si="5"/>
        <v>0</v>
      </c>
    </row>
    <row r="24" spans="2:8" x14ac:dyDescent="0.25">
      <c r="B24" s="26">
        <v>21</v>
      </c>
      <c r="C24" s="52">
        <f t="shared" si="0"/>
        <v>0.51232861946084751</v>
      </c>
      <c r="D24" s="52">
        <f t="shared" si="1"/>
        <v>0.33639919482821595</v>
      </c>
      <c r="E24" s="48">
        <f t="shared" si="2"/>
        <v>-0.17592942463263156</v>
      </c>
      <c r="F24" s="48">
        <f t="shared" si="3"/>
        <v>-4.570780530151574E-4</v>
      </c>
      <c r="G24" s="48">
        <f t="shared" si="4"/>
        <v>0.51187154140783231</v>
      </c>
      <c r="H24" s="30">
        <f t="shared" si="5"/>
        <v>0</v>
      </c>
    </row>
    <row r="25" spans="2:8" x14ac:dyDescent="0.25">
      <c r="B25" s="26">
        <v>22</v>
      </c>
      <c r="C25" s="52">
        <f t="shared" si="0"/>
        <v>1.3328297513609087E-2</v>
      </c>
      <c r="D25" s="52">
        <f t="shared" si="1"/>
        <v>9.9334339431091864E-3</v>
      </c>
      <c r="E25" s="48">
        <f t="shared" si="2"/>
        <v>-3.3948635704999005E-3</v>
      </c>
      <c r="F25" s="48">
        <f t="shared" si="3"/>
        <v>-8.8201142833065682E-6</v>
      </c>
      <c r="G25" s="48">
        <f t="shared" si="4"/>
        <v>1.331947739932578E-2</v>
      </c>
      <c r="H25" s="30">
        <f t="shared" si="5"/>
        <v>0</v>
      </c>
    </row>
    <row r="26" spans="2:8" x14ac:dyDescent="0.25">
      <c r="B26" s="26">
        <v>23</v>
      </c>
      <c r="C26" s="52">
        <f t="shared" si="0"/>
        <v>1.3645089433593613</v>
      </c>
      <c r="D26" s="52">
        <f t="shared" si="1"/>
        <v>1.1709027163413299</v>
      </c>
      <c r="E26" s="48">
        <f t="shared" si="2"/>
        <v>-0.19360622701803143</v>
      </c>
      <c r="F26" s="48">
        <f t="shared" si="3"/>
        <v>-5.0300373278546254E-4</v>
      </c>
      <c r="G26" s="48">
        <f t="shared" si="4"/>
        <v>1.3640059396265758</v>
      </c>
      <c r="H26" s="30">
        <f t="shared" si="5"/>
        <v>0</v>
      </c>
    </row>
    <row r="27" spans="2:8" x14ac:dyDescent="0.25">
      <c r="B27" s="26">
        <v>24</v>
      </c>
      <c r="C27" s="52">
        <f t="shared" si="0"/>
        <v>5.8116700278296428E-3</v>
      </c>
      <c r="D27" s="52">
        <f t="shared" si="1"/>
        <v>2.9855222275943743E-3</v>
      </c>
      <c r="E27" s="48">
        <f t="shared" si="2"/>
        <v>-2.8261478002352684E-3</v>
      </c>
      <c r="F27" s="48">
        <f t="shared" si="3"/>
        <v>-7.3425473695604171E-6</v>
      </c>
      <c r="G27" s="48">
        <f t="shared" si="4"/>
        <v>5.8043274804600821E-3</v>
      </c>
      <c r="H27" s="30">
        <f t="shared" si="5"/>
        <v>0</v>
      </c>
    </row>
    <row r="28" spans="2:8" x14ac:dyDescent="0.25">
      <c r="B28" s="26">
        <v>25</v>
      </c>
      <c r="C28" s="52">
        <f t="shared" si="0"/>
        <v>1.0203047520164361</v>
      </c>
      <c r="D28" s="52">
        <f t="shared" si="1"/>
        <v>0.89181945133108653</v>
      </c>
      <c r="E28" s="48">
        <f t="shared" si="2"/>
        <v>-0.12848530068534958</v>
      </c>
      <c r="F28" s="48">
        <f t="shared" si="3"/>
        <v>-3.338146032192148E-4</v>
      </c>
      <c r="G28" s="48">
        <f t="shared" si="4"/>
        <v>1.0199709374132169</v>
      </c>
      <c r="H28" s="30">
        <f t="shared" si="5"/>
        <v>0</v>
      </c>
    </row>
    <row r="29" spans="2:8" x14ac:dyDescent="0.25">
      <c r="B29" s="26">
        <v>26</v>
      </c>
      <c r="C29" s="52">
        <f t="shared" si="0"/>
        <v>1.2261667576280695E-2</v>
      </c>
      <c r="D29" s="52">
        <f t="shared" si="1"/>
        <v>1.1494261330574136E-2</v>
      </c>
      <c r="E29" s="48">
        <f t="shared" si="2"/>
        <v>-7.6740624570655926E-4</v>
      </c>
      <c r="F29" s="48">
        <f t="shared" si="3"/>
        <v>-1.9937799114143494E-6</v>
      </c>
      <c r="G29" s="48">
        <f t="shared" si="4"/>
        <v>1.2259673796369282E-2</v>
      </c>
      <c r="H29" s="30">
        <f t="shared" si="5"/>
        <v>0</v>
      </c>
    </row>
    <row r="30" spans="2:8" x14ac:dyDescent="0.25">
      <c r="B30" s="26">
        <v>27</v>
      </c>
      <c r="C30" s="52">
        <f t="shared" si="0"/>
        <v>0.40809218499146371</v>
      </c>
      <c r="D30" s="52">
        <f t="shared" si="1"/>
        <v>0.28326195110267732</v>
      </c>
      <c r="E30" s="48">
        <f t="shared" si="2"/>
        <v>-0.12483023388878639</v>
      </c>
      <c r="F30" s="48">
        <f t="shared" si="3"/>
        <v>-3.2431846112415571E-4</v>
      </c>
      <c r="G30" s="48">
        <f t="shared" si="4"/>
        <v>0.40776786653033958</v>
      </c>
      <c r="H30" s="30">
        <f t="shared" si="5"/>
        <v>0</v>
      </c>
    </row>
    <row r="31" spans="2:8" x14ac:dyDescent="0.25">
      <c r="B31" s="26">
        <v>28</v>
      </c>
      <c r="C31" s="52">
        <f t="shared" si="0"/>
        <v>1.2556658041302614E-2</v>
      </c>
      <c r="D31" s="52">
        <f t="shared" si="1"/>
        <v>1.0537656791068419E-2</v>
      </c>
      <c r="E31" s="48">
        <f t="shared" si="2"/>
        <v>-2.0190012502341956E-3</v>
      </c>
      <c r="F31" s="48">
        <f t="shared" si="3"/>
        <v>-5.2455191189265407E-6</v>
      </c>
      <c r="G31" s="48">
        <f t="shared" si="4"/>
        <v>1.2551412522183688E-2</v>
      </c>
      <c r="H31" s="30">
        <f t="shared" si="5"/>
        <v>0</v>
      </c>
    </row>
    <row r="32" spans="2:8" x14ac:dyDescent="0.25">
      <c r="B32" s="26">
        <v>29</v>
      </c>
      <c r="C32" s="52">
        <f t="shared" si="0"/>
        <v>0.75870567381450926</v>
      </c>
      <c r="D32" s="52">
        <f t="shared" si="1"/>
        <v>0.75678843679568575</v>
      </c>
      <c r="E32" s="48">
        <f t="shared" si="2"/>
        <v>-1.9172370188235144E-3</v>
      </c>
      <c r="F32" s="48">
        <f t="shared" si="3"/>
        <v>-4.9811278901317719E-6</v>
      </c>
      <c r="G32" s="48">
        <f t="shared" si="4"/>
        <v>0.7587006926866191</v>
      </c>
      <c r="H32" s="30">
        <f t="shared" si="5"/>
        <v>0</v>
      </c>
    </row>
    <row r="33" spans="2:8" x14ac:dyDescent="0.25">
      <c r="B33" s="26">
        <v>30</v>
      </c>
      <c r="C33" s="52">
        <f t="shared" si="0"/>
        <v>4.6053075814346854E-3</v>
      </c>
      <c r="D33" s="52">
        <f t="shared" si="1"/>
        <v>3.6991571943863818E-3</v>
      </c>
      <c r="E33" s="48">
        <f t="shared" si="2"/>
        <v>-9.0615038704830366E-4</v>
      </c>
      <c r="F33" s="48">
        <f t="shared" si="3"/>
        <v>-2.3542477644990103E-6</v>
      </c>
      <c r="G33" s="48">
        <f t="shared" si="4"/>
        <v>4.602953333670186E-3</v>
      </c>
      <c r="H33" s="30">
        <f t="shared" si="5"/>
        <v>0</v>
      </c>
    </row>
    <row r="34" spans="2:8" x14ac:dyDescent="0.25">
      <c r="B34" s="26">
        <v>31</v>
      </c>
      <c r="C34" s="52">
        <f t="shared" si="0"/>
        <v>0.56772740214173922</v>
      </c>
      <c r="D34" s="52">
        <f t="shared" si="1"/>
        <v>0.46221863452787271</v>
      </c>
      <c r="E34" s="48">
        <f t="shared" si="2"/>
        <v>-0.10550876761386652</v>
      </c>
      <c r="F34" s="48">
        <f t="shared" si="3"/>
        <v>-2.7411981922681651E-4</v>
      </c>
      <c r="G34" s="48">
        <f t="shared" si="4"/>
        <v>0.56745328232251235</v>
      </c>
      <c r="H34" s="30">
        <f t="shared" si="5"/>
        <v>0</v>
      </c>
    </row>
    <row r="35" spans="2:8" x14ac:dyDescent="0.25">
      <c r="B35" s="26">
        <v>32</v>
      </c>
      <c r="C35" s="52">
        <f t="shared" si="0"/>
        <v>8.8970610246392086E-3</v>
      </c>
      <c r="D35" s="52">
        <f t="shared" si="1"/>
        <v>1.1901375104307985E-2</v>
      </c>
      <c r="E35" s="48">
        <f t="shared" si="2"/>
        <v>3.004314079668776E-3</v>
      </c>
      <c r="F35" s="48">
        <f t="shared" si="3"/>
        <v>7.8054369418219819E-6</v>
      </c>
      <c r="G35" s="48">
        <f t="shared" si="4"/>
        <v>8.9048664615810312E-3</v>
      </c>
      <c r="H35" s="30">
        <f t="shared" si="5"/>
        <v>0</v>
      </c>
    </row>
    <row r="36" spans="2:8" x14ac:dyDescent="0.25">
      <c r="B36" s="26">
        <v>33</v>
      </c>
      <c r="C36" s="52">
        <f t="shared" si="0"/>
        <v>0.34165566585023771</v>
      </c>
      <c r="D36" s="52">
        <f t="shared" si="1"/>
        <v>0.22742267911109676</v>
      </c>
      <c r="E36" s="48">
        <f t="shared" si="2"/>
        <v>-0.11423298673914095</v>
      </c>
      <c r="F36" s="48">
        <f t="shared" si="3"/>
        <v>-2.9678600539882771E-4</v>
      </c>
      <c r="G36" s="48">
        <f t="shared" si="4"/>
        <v>0.34135887984483887</v>
      </c>
      <c r="H36" s="30">
        <f t="shared" si="5"/>
        <v>0</v>
      </c>
    </row>
    <row r="37" spans="2:8" x14ac:dyDescent="0.25">
      <c r="B37" s="26">
        <v>34</v>
      </c>
      <c r="C37" s="52">
        <f t="shared" si="0"/>
        <v>0.21861320828195963</v>
      </c>
      <c r="D37" s="52">
        <f t="shared" si="1"/>
        <v>0.14805460867942424</v>
      </c>
      <c r="E37" s="48">
        <f t="shared" si="2"/>
        <v>-7.0558599602535382E-2</v>
      </c>
      <c r="F37" s="48">
        <f t="shared" si="3"/>
        <v>-1.8331661913376725E-4</v>
      </c>
      <c r="G37" s="48">
        <f t="shared" si="4"/>
        <v>0.21842989166282586</v>
      </c>
      <c r="H37" s="30">
        <f t="shared" si="5"/>
        <v>0</v>
      </c>
    </row>
    <row r="38" spans="2:8" x14ac:dyDescent="0.25">
      <c r="B38" s="26">
        <v>35</v>
      </c>
      <c r="C38" s="52">
        <f t="shared" si="0"/>
        <v>0.51648077967213191</v>
      </c>
      <c r="D38" s="52">
        <f t="shared" si="1"/>
        <v>0.5658478637815777</v>
      </c>
      <c r="E38" s="48">
        <f t="shared" si="2"/>
        <v>4.9367084109445791E-2</v>
      </c>
      <c r="F38" s="48">
        <f t="shared" si="3"/>
        <v>1.2825944684864099E-4</v>
      </c>
      <c r="G38" s="48">
        <f t="shared" si="4"/>
        <v>0.5166090391189806</v>
      </c>
      <c r="H38" s="30">
        <f t="shared" si="5"/>
        <v>0</v>
      </c>
    </row>
    <row r="39" spans="2:8" x14ac:dyDescent="0.25">
      <c r="B39" s="26">
        <v>36</v>
      </c>
      <c r="C39" s="52">
        <f t="shared" si="0"/>
        <v>0.21861320828195963</v>
      </c>
      <c r="D39" s="52">
        <f t="shared" si="1"/>
        <v>0.14805460867942424</v>
      </c>
      <c r="E39" s="48">
        <f t="shared" si="2"/>
        <v>-7.0558599602535382E-2</v>
      </c>
      <c r="F39" s="48">
        <f t="shared" si="3"/>
        <v>-1.8331661913376725E-4</v>
      </c>
      <c r="G39" s="48">
        <f t="shared" si="4"/>
        <v>0.21842989166282586</v>
      </c>
      <c r="H39" s="30">
        <f t="shared" si="5"/>
        <v>0</v>
      </c>
    </row>
    <row r="40" spans="2:8" x14ac:dyDescent="0.25">
      <c r="B40" s="26">
        <v>37</v>
      </c>
      <c r="C40" s="52">
        <f t="shared" si="0"/>
        <v>0.34192356461046053</v>
      </c>
      <c r="D40" s="52">
        <f t="shared" si="1"/>
        <v>0.32136315457507253</v>
      </c>
      <c r="E40" s="48">
        <f t="shared" si="2"/>
        <v>-2.0560410035387999E-2</v>
      </c>
      <c r="F40" s="48">
        <f t="shared" si="3"/>
        <v>-5.3417512208616369E-5</v>
      </c>
      <c r="G40" s="48">
        <f t="shared" si="4"/>
        <v>0.34187014709825192</v>
      </c>
      <c r="H40" s="30">
        <f t="shared" si="5"/>
        <v>0</v>
      </c>
    </row>
    <row r="41" spans="2:8" x14ac:dyDescent="0.25">
      <c r="B41" s="26">
        <v>38</v>
      </c>
      <c r="C41" s="52">
        <f t="shared" si="0"/>
        <v>0.21861320828195963</v>
      </c>
      <c r="D41" s="52">
        <f t="shared" si="1"/>
        <v>0.14805460867942424</v>
      </c>
      <c r="E41" s="48">
        <f t="shared" si="2"/>
        <v>-7.0558599602535382E-2</v>
      </c>
      <c r="F41" s="48">
        <f t="shared" si="3"/>
        <v>-1.8331661913376725E-4</v>
      </c>
      <c r="G41" s="48">
        <f t="shared" si="4"/>
        <v>0.21842989166282586</v>
      </c>
      <c r="H41" s="30">
        <f t="shared" si="5"/>
        <v>0</v>
      </c>
    </row>
    <row r="42" spans="2:8" x14ac:dyDescent="0.25">
      <c r="B42" s="26">
        <v>39</v>
      </c>
      <c r="C42" s="52">
        <f t="shared" si="0"/>
        <v>0.27640701454444089</v>
      </c>
      <c r="D42" s="52">
        <f t="shared" si="1"/>
        <v>0.17818419975534588</v>
      </c>
      <c r="E42" s="48">
        <f t="shared" si="2"/>
        <v>-9.8222814789095003E-2</v>
      </c>
      <c r="F42" s="48">
        <f t="shared" si="3"/>
        <v>-2.5519035851573346E-4</v>
      </c>
      <c r="G42" s="48">
        <f t="shared" si="4"/>
        <v>0.27615182418592515</v>
      </c>
      <c r="H42" s="30">
        <f t="shared" si="5"/>
        <v>0</v>
      </c>
    </row>
    <row r="43" spans="2:8" x14ac:dyDescent="0.25">
      <c r="B43" s="26">
        <v>40</v>
      </c>
      <c r="C43" s="52">
        <f t="shared" si="0"/>
        <v>0.21861320828195963</v>
      </c>
      <c r="D43" s="52">
        <f t="shared" si="1"/>
        <v>0.14805460867942424</v>
      </c>
      <c r="E43" s="48">
        <f t="shared" si="2"/>
        <v>-7.0558599602535382E-2</v>
      </c>
      <c r="F43" s="48">
        <f t="shared" si="3"/>
        <v>-1.8331661913376725E-4</v>
      </c>
      <c r="G43" s="48">
        <f t="shared" si="4"/>
        <v>0.21842989166282586</v>
      </c>
      <c r="H43" s="30">
        <f t="shared" si="5"/>
        <v>0</v>
      </c>
    </row>
    <row r="44" spans="2:8" x14ac:dyDescent="0.25">
      <c r="B44" s="26">
        <v>41</v>
      </c>
      <c r="C44" s="52">
        <f t="shared" si="0"/>
        <v>0.39951328972932304</v>
      </c>
      <c r="D44" s="52">
        <f t="shared" si="1"/>
        <v>0.41594580564321404</v>
      </c>
      <c r="E44" s="48">
        <f t="shared" si="2"/>
        <v>1.6432515913890999E-2</v>
      </c>
      <c r="F44" s="48">
        <f t="shared" si="3"/>
        <v>4.2692928688568854E-5</v>
      </c>
      <c r="G44" s="48">
        <f t="shared" si="4"/>
        <v>0.39955598265801162</v>
      </c>
      <c r="H44" s="30">
        <f t="shared" si="5"/>
        <v>0</v>
      </c>
    </row>
    <row r="45" spans="2:8" x14ac:dyDescent="0.25">
      <c r="B45" s="26">
        <v>42</v>
      </c>
      <c r="C45" s="52">
        <f t="shared" si="0"/>
        <v>0.21861320828195963</v>
      </c>
      <c r="D45" s="52">
        <f t="shared" si="1"/>
        <v>0.14805460867942424</v>
      </c>
      <c r="E45" s="48">
        <f t="shared" si="2"/>
        <v>-7.0558599602535382E-2</v>
      </c>
      <c r="F45" s="48">
        <f t="shared" si="3"/>
        <v>-1.8331661913376725E-4</v>
      </c>
      <c r="G45" s="48">
        <f t="shared" si="4"/>
        <v>0.21842989166282586</v>
      </c>
      <c r="H45" s="30">
        <f t="shared" si="5"/>
        <v>0</v>
      </c>
    </row>
    <row r="46" spans="2:8" x14ac:dyDescent="0.25">
      <c r="B46" s="26">
        <v>43</v>
      </c>
      <c r="C46" s="52">
        <f t="shared" si="0"/>
        <v>0.25538951981730396</v>
      </c>
      <c r="D46" s="52">
        <f t="shared" si="1"/>
        <v>0.24818871965708805</v>
      </c>
      <c r="E46" s="48">
        <f t="shared" si="2"/>
        <v>-7.2008001602159033E-3</v>
      </c>
      <c r="F46" s="48">
        <f t="shared" si="3"/>
        <v>-1.8708227598967774E-5</v>
      </c>
      <c r="G46" s="48">
        <f t="shared" si="4"/>
        <v>0.25537081158970498</v>
      </c>
      <c r="H46" s="30">
        <f t="shared" si="5"/>
        <v>0</v>
      </c>
    </row>
    <row r="47" spans="2:8" x14ac:dyDescent="0.25">
      <c r="B47" s="26">
        <v>44</v>
      </c>
      <c r="C47" s="52">
        <f t="shared" si="0"/>
        <v>0.21861320828195963</v>
      </c>
      <c r="D47" s="52">
        <f t="shared" si="1"/>
        <v>0.14805460867942424</v>
      </c>
      <c r="E47" s="48">
        <f t="shared" si="2"/>
        <v>-7.0558599602535382E-2</v>
      </c>
      <c r="F47" s="48">
        <f t="shared" si="3"/>
        <v>-1.8331661913376725E-4</v>
      </c>
      <c r="G47" s="48">
        <f t="shared" si="4"/>
        <v>0.21842989166282586</v>
      </c>
      <c r="H47" s="30">
        <f t="shared" si="5"/>
        <v>0</v>
      </c>
    </row>
    <row r="48" spans="2:8" x14ac:dyDescent="0.25">
      <c r="B48" s="26">
        <v>45</v>
      </c>
      <c r="C48" s="52">
        <f t="shared" si="0"/>
        <v>0.21866515563030009</v>
      </c>
      <c r="D48" s="52">
        <f t="shared" si="1"/>
        <v>0.14808361462956454</v>
      </c>
      <c r="E48" s="48">
        <f t="shared" si="2"/>
        <v>-7.0581541000735548E-2</v>
      </c>
      <c r="F48" s="48">
        <f t="shared" si="3"/>
        <v>-1.8337622263468631E-4</v>
      </c>
      <c r="G48" s="48">
        <f t="shared" si="4"/>
        <v>0.21848177940766542</v>
      </c>
      <c r="H48" s="30">
        <f t="shared" si="5"/>
        <v>0</v>
      </c>
    </row>
    <row r="49" spans="1:21" x14ac:dyDescent="0.25">
      <c r="B49" s="26">
        <v>46</v>
      </c>
      <c r="C49" s="52">
        <f t="shared" si="0"/>
        <v>0.21861320828195963</v>
      </c>
      <c r="D49" s="52">
        <f t="shared" si="1"/>
        <v>0.14805460867942424</v>
      </c>
      <c r="E49" s="48">
        <f t="shared" si="2"/>
        <v>-7.0558599602535382E-2</v>
      </c>
      <c r="F49" s="48">
        <f t="shared" si="3"/>
        <v>-1.8331661913376725E-4</v>
      </c>
      <c r="G49" s="48">
        <f t="shared" si="4"/>
        <v>0.21842989166282586</v>
      </c>
      <c r="H49" s="30">
        <f t="shared" si="5"/>
        <v>0</v>
      </c>
    </row>
    <row r="50" spans="1:21" x14ac:dyDescent="0.25">
      <c r="B50" s="26">
        <v>47</v>
      </c>
      <c r="C50" s="52">
        <f t="shared" si="0"/>
        <v>0.2940568330031525</v>
      </c>
      <c r="D50" s="52">
        <f t="shared" si="1"/>
        <v>0.2786885915405366</v>
      </c>
      <c r="E50" s="48">
        <f t="shared" si="2"/>
        <v>-1.5368241462615895E-2</v>
      </c>
      <c r="F50" s="48">
        <f t="shared" si="3"/>
        <v>-3.9927862554359649E-5</v>
      </c>
      <c r="G50" s="48">
        <f t="shared" si="4"/>
        <v>0.29401690514059814</v>
      </c>
      <c r="H50" s="30">
        <f t="shared" si="5"/>
        <v>0</v>
      </c>
    </row>
    <row r="51" spans="1:21" x14ac:dyDescent="0.25">
      <c r="B51" s="26">
        <v>48</v>
      </c>
      <c r="C51" s="52">
        <f t="shared" si="0"/>
        <v>0.21861320828195963</v>
      </c>
      <c r="D51" s="52">
        <f t="shared" si="1"/>
        <v>0.14805460867942424</v>
      </c>
      <c r="E51" s="48">
        <f t="shared" si="2"/>
        <v>-7.0558599602535382E-2</v>
      </c>
      <c r="F51" s="48">
        <f t="shared" si="3"/>
        <v>-1.8331661913376725E-4</v>
      </c>
      <c r="G51" s="48">
        <f t="shared" si="4"/>
        <v>0.21842989166282586</v>
      </c>
      <c r="H51" s="30">
        <f t="shared" si="5"/>
        <v>0</v>
      </c>
    </row>
    <row r="52" spans="1:21" x14ac:dyDescent="0.25">
      <c r="B52" s="26">
        <v>49</v>
      </c>
      <c r="C52" s="52">
        <f t="shared" si="0"/>
        <v>0.19635848943192444</v>
      </c>
      <c r="D52" s="52">
        <f t="shared" si="1"/>
        <v>0.18022284651166184</v>
      </c>
      <c r="E52" s="48">
        <f t="shared" si="2"/>
        <v>-1.6135642920262594E-2</v>
      </c>
      <c r="F52" s="48">
        <f t="shared" si="3"/>
        <v>-4.1921630026029577E-5</v>
      </c>
      <c r="G52" s="48">
        <f t="shared" si="4"/>
        <v>0.19631656780189841</v>
      </c>
      <c r="H52" s="30">
        <f t="shared" si="5"/>
        <v>0</v>
      </c>
    </row>
    <row r="53" spans="1:21" x14ac:dyDescent="0.25">
      <c r="B53" s="26">
        <v>50</v>
      </c>
      <c r="C53" s="52">
        <f t="shared" si="0"/>
        <v>0.21861320828195963</v>
      </c>
      <c r="D53" s="52">
        <f t="shared" si="1"/>
        <v>0.14805460867942424</v>
      </c>
      <c r="E53" s="48">
        <f t="shared" si="2"/>
        <v>-7.0558599602535382E-2</v>
      </c>
      <c r="F53" s="48">
        <f t="shared" si="3"/>
        <v>-1.8331661913376725E-4</v>
      </c>
      <c r="G53" s="48">
        <f t="shared" si="4"/>
        <v>0.21842989166282586</v>
      </c>
      <c r="H53" s="30">
        <f t="shared" si="5"/>
        <v>0</v>
      </c>
    </row>
    <row r="54" spans="1:21" x14ac:dyDescent="0.25">
      <c r="C54" s="32"/>
      <c r="D54" s="32"/>
      <c r="E54" s="32"/>
      <c r="F54" s="32"/>
      <c r="G54" s="32"/>
      <c r="H54" s="30"/>
    </row>
    <row r="55" spans="1:21" x14ac:dyDescent="0.25">
      <c r="F55" s="26" t="s">
        <v>85</v>
      </c>
      <c r="G55" s="29">
        <f>IF(H4=0,0,100*H55/H4)</f>
        <v>0</v>
      </c>
      <c r="H55" s="29">
        <f>SQRT(SUMSQ(H5:H53))</f>
        <v>0</v>
      </c>
      <c r="I55" s="26" t="s">
        <v>52</v>
      </c>
    </row>
    <row r="56" spans="1:21" x14ac:dyDescent="0.25">
      <c r="F56" s="26" t="s">
        <v>86</v>
      </c>
      <c r="G56" s="29">
        <f>SQRT(SUMSQ(G4:G53))</f>
        <v>107.86844369732164</v>
      </c>
      <c r="H56" s="29">
        <f>SQRT(SUMSQ(H4:H53))</f>
        <v>0</v>
      </c>
      <c r="I56" s="26" t="s">
        <v>54</v>
      </c>
    </row>
    <row r="57" spans="1:21" x14ac:dyDescent="0.25">
      <c r="G57" s="26" t="s">
        <v>87</v>
      </c>
      <c r="H57" s="26" t="s">
        <v>13</v>
      </c>
    </row>
    <row r="59" spans="1:21" x14ac:dyDescent="0.25">
      <c r="A59" s="25" t="s">
        <v>63</v>
      </c>
      <c r="C59" s="36"/>
      <c r="D59" s="36"/>
      <c r="E59" s="36"/>
      <c r="F59" s="36"/>
      <c r="G59" s="36"/>
      <c r="H59" s="36"/>
      <c r="I59" s="36"/>
      <c r="J59" s="36"/>
      <c r="K59" s="36"/>
      <c r="L59" s="36"/>
      <c r="M59" s="36"/>
      <c r="N59" s="36"/>
      <c r="O59" s="36"/>
      <c r="P59" s="36"/>
      <c r="Q59" s="36"/>
      <c r="R59" s="36"/>
      <c r="S59" s="36"/>
    </row>
    <row r="60" spans="1:21" ht="14.4" x14ac:dyDescent="0.3">
      <c r="C60" s="1" t="s">
        <v>478</v>
      </c>
      <c r="D60" s="7">
        <f>100/D62</f>
        <v>1000</v>
      </c>
      <c r="E60" s="7">
        <f t="shared" ref="E60:U60" si="6">100/E62</f>
        <v>200</v>
      </c>
      <c r="F60" s="7">
        <f t="shared" si="6"/>
        <v>100</v>
      </c>
      <c r="G60" s="7">
        <f t="shared" si="6"/>
        <v>50</v>
      </c>
      <c r="H60" s="7">
        <f t="shared" si="6"/>
        <v>33.333333333333336</v>
      </c>
      <c r="I60" s="7">
        <f t="shared" si="6"/>
        <v>25</v>
      </c>
      <c r="J60" s="7">
        <f t="shared" si="6"/>
        <v>20</v>
      </c>
      <c r="K60" s="7">
        <f t="shared" si="6"/>
        <v>16.666666666666668</v>
      </c>
      <c r="L60" s="7">
        <f t="shared" si="6"/>
        <v>14.285714285714286</v>
      </c>
      <c r="M60" s="7">
        <f t="shared" si="6"/>
        <v>12.5</v>
      </c>
      <c r="N60" s="7">
        <f t="shared" si="6"/>
        <v>10</v>
      </c>
      <c r="O60" s="7">
        <f t="shared" si="6"/>
        <v>8.3333333333333339</v>
      </c>
      <c r="P60" s="7">
        <f t="shared" si="6"/>
        <v>7.1428571428571432</v>
      </c>
      <c r="Q60" s="7">
        <f t="shared" si="6"/>
        <v>5.5555555555555554</v>
      </c>
      <c r="R60" s="7">
        <f t="shared" si="6"/>
        <v>4.7619047619047619</v>
      </c>
      <c r="S60" s="7">
        <f t="shared" si="6"/>
        <v>1</v>
      </c>
      <c r="T60" s="7">
        <f t="shared" si="6"/>
        <v>0.1</v>
      </c>
      <c r="U60" s="7">
        <f t="shared" si="6"/>
        <v>0.01</v>
      </c>
    </row>
    <row r="61" spans="1:21" ht="14.4" x14ac:dyDescent="0.3">
      <c r="C61" s="1" t="s">
        <v>64</v>
      </c>
      <c r="D61">
        <v>0</v>
      </c>
      <c r="E61">
        <v>1</v>
      </c>
      <c r="F61">
        <v>2</v>
      </c>
      <c r="G61">
        <v>3</v>
      </c>
      <c r="H61">
        <v>4</v>
      </c>
      <c r="I61">
        <v>5</v>
      </c>
      <c r="J61">
        <v>6</v>
      </c>
      <c r="K61">
        <v>7</v>
      </c>
      <c r="L61">
        <v>8</v>
      </c>
      <c r="M61">
        <v>9</v>
      </c>
      <c r="N61">
        <v>10</v>
      </c>
      <c r="O61">
        <v>11</v>
      </c>
      <c r="P61">
        <v>12</v>
      </c>
      <c r="Q61">
        <v>13</v>
      </c>
      <c r="R61">
        <v>14</v>
      </c>
      <c r="S61">
        <v>15</v>
      </c>
      <c r="T61">
        <v>16</v>
      </c>
      <c r="U61">
        <v>17</v>
      </c>
    </row>
    <row r="62" spans="1:21" ht="14.4" x14ac:dyDescent="0.3">
      <c r="A62" s="26" t="s">
        <v>65</v>
      </c>
      <c r="B62" s="54"/>
      <c r="C62" s="216" t="s">
        <v>1</v>
      </c>
      <c r="D62" s="296">
        <v>0.1</v>
      </c>
      <c r="E62" s="296">
        <v>0.5</v>
      </c>
      <c r="F62" s="296">
        <v>1</v>
      </c>
      <c r="G62" s="296">
        <v>2</v>
      </c>
      <c r="H62" s="296">
        <v>3</v>
      </c>
      <c r="I62" s="296">
        <v>4</v>
      </c>
      <c r="J62" s="296">
        <v>5</v>
      </c>
      <c r="K62" s="296">
        <v>6</v>
      </c>
      <c r="L62" s="296">
        <v>7</v>
      </c>
      <c r="M62" s="296">
        <v>8</v>
      </c>
      <c r="N62" s="296">
        <v>10</v>
      </c>
      <c r="O62" s="296">
        <v>12</v>
      </c>
      <c r="P62" s="296">
        <v>14</v>
      </c>
      <c r="Q62" s="296">
        <v>18</v>
      </c>
      <c r="R62" s="296">
        <v>21</v>
      </c>
      <c r="S62" s="296">
        <v>100</v>
      </c>
      <c r="T62" s="296">
        <v>1000</v>
      </c>
      <c r="U62" s="296">
        <v>10000</v>
      </c>
    </row>
    <row r="63" spans="1:21" ht="14.4" x14ac:dyDescent="0.3">
      <c r="A63" s="31"/>
      <c r="C63" s="1" t="s">
        <v>64</v>
      </c>
      <c r="D63">
        <v>0</v>
      </c>
      <c r="E63">
        <v>1</v>
      </c>
      <c r="F63">
        <v>2</v>
      </c>
      <c r="G63">
        <v>3</v>
      </c>
      <c r="H63">
        <v>4</v>
      </c>
      <c r="I63">
        <v>5</v>
      </c>
      <c r="J63">
        <v>6</v>
      </c>
      <c r="K63">
        <v>7</v>
      </c>
      <c r="L63">
        <v>8</v>
      </c>
      <c r="M63">
        <v>9</v>
      </c>
      <c r="N63">
        <v>10</v>
      </c>
      <c r="O63">
        <v>11</v>
      </c>
      <c r="P63">
        <v>12</v>
      </c>
      <c r="Q63">
        <v>13</v>
      </c>
      <c r="R63">
        <v>14</v>
      </c>
      <c r="S63">
        <v>15</v>
      </c>
      <c r="T63">
        <v>16</v>
      </c>
      <c r="U63">
        <v>17</v>
      </c>
    </row>
    <row r="64" spans="1:21" ht="14.4" x14ac:dyDescent="0.3">
      <c r="A64" s="43">
        <v>2</v>
      </c>
      <c r="B64" s="43"/>
      <c r="C64" s="1"/>
      <c r="D64" s="298">
        <v>1.7291324964220301E-2</v>
      </c>
      <c r="E64" s="298">
        <v>6.6998018440489568E-2</v>
      </c>
      <c r="F64" s="298">
        <v>0.12416560747379798</v>
      </c>
      <c r="G64" s="298">
        <v>0.19164678959143519</v>
      </c>
      <c r="H64" s="298">
        <v>3.2432337711389723E-2</v>
      </c>
      <c r="I64" s="298">
        <v>2.6794917304969575E-2</v>
      </c>
      <c r="J64" s="298">
        <v>1.0787351058726545E-2</v>
      </c>
      <c r="K64" s="298">
        <v>1.5488830696511377E-2</v>
      </c>
      <c r="L64" s="298">
        <v>1.1120918013740941E-2</v>
      </c>
      <c r="M64" s="298">
        <v>1.2571907703050382E-2</v>
      </c>
      <c r="N64" s="298">
        <v>2.636287592484499E-2</v>
      </c>
      <c r="O64" s="298">
        <v>3.9068771982494086E-3</v>
      </c>
      <c r="P64" s="298">
        <v>1.783236037225493E-2</v>
      </c>
      <c r="Q64" s="298">
        <v>6.5715038062707058E-3</v>
      </c>
      <c r="R64" s="298">
        <v>5.7146036546192576E-3</v>
      </c>
      <c r="S64" s="298">
        <v>5.7146036546192576E-3</v>
      </c>
      <c r="T64" s="298">
        <v>5.7146036546192576E-3</v>
      </c>
      <c r="U64" s="298">
        <v>5.7146036546192576E-3</v>
      </c>
    </row>
    <row r="65" spans="1:21" ht="14.4" x14ac:dyDescent="0.3">
      <c r="A65" s="43">
        <v>3</v>
      </c>
      <c r="B65" s="43"/>
      <c r="C65" s="1"/>
      <c r="D65" s="298">
        <v>0.55385104430828935</v>
      </c>
      <c r="E65" s="298">
        <v>8.5473774716319078</v>
      </c>
      <c r="F65" s="298">
        <v>4.3857615521600959</v>
      </c>
      <c r="G65" s="298">
        <v>4.8916763402676038</v>
      </c>
      <c r="H65" s="298">
        <v>5.107248510230364</v>
      </c>
      <c r="I65" s="298">
        <v>6.2072885442798249</v>
      </c>
      <c r="J65" s="298">
        <v>7.7608557639223745</v>
      </c>
      <c r="K65" s="298">
        <v>5.1365577880102951</v>
      </c>
      <c r="L65" s="298">
        <v>3.7115343236794409</v>
      </c>
      <c r="M65" s="298">
        <v>2.8652501742303245</v>
      </c>
      <c r="N65" s="298">
        <v>1.976424393859703</v>
      </c>
      <c r="O65" s="298">
        <v>1.512989131711088</v>
      </c>
      <c r="P65" s="298">
        <v>1.2479844012146544</v>
      </c>
      <c r="Q65" s="298">
        <v>0.90186138282906037</v>
      </c>
      <c r="R65" s="298">
        <v>0.8611207071065603</v>
      </c>
      <c r="S65" s="298">
        <v>0.8611207071065603</v>
      </c>
      <c r="T65" s="298">
        <v>0.8611207071065603</v>
      </c>
      <c r="U65" s="298">
        <v>0.8611207071065603</v>
      </c>
    </row>
    <row r="66" spans="1:21" ht="14.4" x14ac:dyDescent="0.3">
      <c r="A66" s="43">
        <v>4</v>
      </c>
      <c r="B66" s="43"/>
      <c r="C66" s="1"/>
      <c r="D66" s="298">
        <v>0.13520250276733159</v>
      </c>
      <c r="E66" s="298">
        <v>2.8695360144102396E-2</v>
      </c>
      <c r="F66" s="298">
        <v>0.11237654569855723</v>
      </c>
      <c r="G66" s="298">
        <v>0.1270693443534559</v>
      </c>
      <c r="H66" s="298">
        <v>2.9673650735424224E-2</v>
      </c>
      <c r="I66" s="298">
        <v>2.1212221057019379E-2</v>
      </c>
      <c r="J66" s="298">
        <v>1.8916758051922035E-2</v>
      </c>
      <c r="K66" s="298">
        <v>2.4591818946340816E-2</v>
      </c>
      <c r="L66" s="298">
        <v>2.2309871990685983E-2</v>
      </c>
      <c r="M66" s="298">
        <v>1.4672119245636975E-2</v>
      </c>
      <c r="N66" s="298">
        <v>3.4977738354405041E-3</v>
      </c>
      <c r="O66" s="298">
        <v>3.318391374383355E-3</v>
      </c>
      <c r="P66" s="298">
        <v>1.8380050856337499E-2</v>
      </c>
      <c r="Q66" s="298">
        <v>5.7240454854559945E-3</v>
      </c>
      <c r="R66" s="298">
        <v>1.5847873572736098E-3</v>
      </c>
      <c r="S66" s="298">
        <v>1.5847873572736098E-3</v>
      </c>
      <c r="T66" s="298">
        <v>1.5847873572736098E-3</v>
      </c>
      <c r="U66" s="298">
        <v>1.5847873572736098E-3</v>
      </c>
    </row>
    <row r="67" spans="1:21" ht="14.4" x14ac:dyDescent="0.3">
      <c r="A67" s="43">
        <v>5</v>
      </c>
      <c r="B67" s="43"/>
      <c r="C67" s="1"/>
      <c r="D67" s="298">
        <v>93.368748010282204</v>
      </c>
      <c r="E67" s="298">
        <v>82.87682728374898</v>
      </c>
      <c r="F67" s="298">
        <v>73.247221838386295</v>
      </c>
      <c r="G67" s="298">
        <v>60.831459052554194</v>
      </c>
      <c r="H67" s="298">
        <v>49.382828970020235</v>
      </c>
      <c r="I67" s="298">
        <v>41.72752692184784</v>
      </c>
      <c r="J67" s="298">
        <v>37.27946499417164</v>
      </c>
      <c r="K67" s="298">
        <v>34.240442443062605</v>
      </c>
      <c r="L67" s="298">
        <v>31.801834469310585</v>
      </c>
      <c r="M67" s="298">
        <v>29.833911528390878</v>
      </c>
      <c r="N67" s="298">
        <v>26.829447444032468</v>
      </c>
      <c r="O67" s="298">
        <v>24.524377947577921</v>
      </c>
      <c r="P67" s="298">
        <v>22.666145948519805</v>
      </c>
      <c r="Q67" s="298">
        <v>19.683481307529799</v>
      </c>
      <c r="R67" s="298">
        <v>19.55420880107971</v>
      </c>
      <c r="S67" s="298">
        <v>19.55420880107971</v>
      </c>
      <c r="T67" s="298">
        <v>19.55420880107971</v>
      </c>
      <c r="U67" s="298">
        <v>19.55420880107971</v>
      </c>
    </row>
    <row r="68" spans="1:21" ht="14.4" x14ac:dyDescent="0.3">
      <c r="A68" s="43">
        <v>6</v>
      </c>
      <c r="B68" s="43"/>
      <c r="C68" s="1"/>
      <c r="D68" s="298">
        <v>6.8818496078623531E-2</v>
      </c>
      <c r="E68" s="298">
        <v>5.2936191485114158E-2</v>
      </c>
      <c r="F68" s="298">
        <v>7.0102641631974985E-3</v>
      </c>
      <c r="G68" s="298">
        <v>1.1862351899176933E-2</v>
      </c>
      <c r="H68" s="298">
        <v>1.9222702695116914E-3</v>
      </c>
      <c r="I68" s="298">
        <v>1.1087146410300954E-2</v>
      </c>
      <c r="J68" s="298">
        <v>6.7285132893848583E-3</v>
      </c>
      <c r="K68" s="298">
        <v>4.5194792975590103E-3</v>
      </c>
      <c r="L68" s="298">
        <v>6.0169639857389576E-3</v>
      </c>
      <c r="M68" s="298">
        <v>7.3330327729595772E-3</v>
      </c>
      <c r="N68" s="298">
        <v>4.9368015428742544E-3</v>
      </c>
      <c r="O68" s="298">
        <v>2.1005572354824645E-3</v>
      </c>
      <c r="P68" s="298">
        <v>9.2816222816082712E-3</v>
      </c>
      <c r="Q68" s="298">
        <v>3.8021989595571734E-3</v>
      </c>
      <c r="R68" s="298">
        <v>2.6949365909897677E-3</v>
      </c>
      <c r="S68" s="298">
        <v>2.6949365909897677E-3</v>
      </c>
      <c r="T68" s="298">
        <v>2.6949365909897677E-3</v>
      </c>
      <c r="U68" s="298">
        <v>2.6949365909897677E-3</v>
      </c>
    </row>
    <row r="69" spans="1:21" ht="14.4" x14ac:dyDescent="0.3">
      <c r="A69" s="43">
        <v>7</v>
      </c>
      <c r="B69" s="43"/>
      <c r="C69" s="1"/>
      <c r="D69" s="298">
        <v>85.792929223620419</v>
      </c>
      <c r="E69" s="298">
        <v>65.67536665068971</v>
      </c>
      <c r="F69" s="298">
        <v>52.471101352240538</v>
      </c>
      <c r="G69" s="298">
        <v>34.473926081721721</v>
      </c>
      <c r="H69" s="298">
        <v>20.70483242585701</v>
      </c>
      <c r="I69" s="298">
        <v>13.8859457017344</v>
      </c>
      <c r="J69" s="298">
        <v>10.407370469722119</v>
      </c>
      <c r="K69" s="298">
        <v>8.4234250472584673</v>
      </c>
      <c r="L69" s="298">
        <v>7.3447486655802345</v>
      </c>
      <c r="M69" s="298">
        <v>6.8022663683683335</v>
      </c>
      <c r="N69" s="298">
        <v>6.5166708279323533</v>
      </c>
      <c r="O69" s="298">
        <v>6.6273860488121423</v>
      </c>
      <c r="P69" s="298">
        <v>6.8022403042729351</v>
      </c>
      <c r="Q69" s="298">
        <v>6.987229811341364</v>
      </c>
      <c r="R69" s="298">
        <v>7.326010337515557</v>
      </c>
      <c r="S69" s="298">
        <v>7.326010337515557</v>
      </c>
      <c r="T69" s="298">
        <v>7.326010337515557</v>
      </c>
      <c r="U69" s="298">
        <v>7.326010337515557</v>
      </c>
    </row>
    <row r="70" spans="1:21" ht="14.4" x14ac:dyDescent="0.3">
      <c r="A70" s="43">
        <v>8</v>
      </c>
      <c r="B70" s="43"/>
      <c r="C70" s="1"/>
      <c r="D70" s="298">
        <v>0.15207091572872264</v>
      </c>
      <c r="E70" s="298">
        <v>5.2891824469196221E-2</v>
      </c>
      <c r="F70" s="298">
        <v>5.7040082585237739E-2</v>
      </c>
      <c r="G70" s="298">
        <v>1.9116049168177565E-2</v>
      </c>
      <c r="H70" s="298">
        <v>2.3564987660073828E-2</v>
      </c>
      <c r="I70" s="298">
        <v>8.5355102461392024E-3</v>
      </c>
      <c r="J70" s="298">
        <v>1.9603945043945102E-2</v>
      </c>
      <c r="K70" s="298">
        <v>1.2636657164619786E-2</v>
      </c>
      <c r="L70" s="298">
        <v>1.0643351525778579E-2</v>
      </c>
      <c r="M70" s="298">
        <v>4.3473848598230228E-3</v>
      </c>
      <c r="N70" s="298">
        <v>2.5415807506222721E-3</v>
      </c>
      <c r="O70" s="298">
        <v>1.2216655309818655E-3</v>
      </c>
      <c r="P70" s="298">
        <v>6.4595461603830819E-3</v>
      </c>
      <c r="Q70" s="298">
        <v>1.3983813924981661E-3</v>
      </c>
      <c r="R70" s="298">
        <v>3.4056178014729927E-3</v>
      </c>
      <c r="S70" s="298">
        <v>3.4056178014729927E-3</v>
      </c>
      <c r="T70" s="298">
        <v>3.4056178014729927E-3</v>
      </c>
      <c r="U70" s="298">
        <v>3.4056178014729927E-3</v>
      </c>
    </row>
    <row r="71" spans="1:21" ht="14.4" x14ac:dyDescent="0.3">
      <c r="A71" s="43">
        <v>9</v>
      </c>
      <c r="B71" s="43"/>
      <c r="C71" s="1"/>
      <c r="D71" s="298">
        <v>1.154353524821659</v>
      </c>
      <c r="E71" s="298">
        <v>3.5914593530271834</v>
      </c>
      <c r="F71" s="298">
        <v>0.66156600737101889</v>
      </c>
      <c r="G71" s="298">
        <v>0.60368769264829547</v>
      </c>
      <c r="H71" s="298">
        <v>0.42447764331950832</v>
      </c>
      <c r="I71" s="298">
        <v>1.0648962156533353</v>
      </c>
      <c r="J71" s="298">
        <v>1.5532650518305111</v>
      </c>
      <c r="K71" s="298">
        <v>0.98716445545758624</v>
      </c>
      <c r="L71" s="298">
        <v>0.68104076968532634</v>
      </c>
      <c r="M71" s="298">
        <v>0.50610374236669098</v>
      </c>
      <c r="N71" s="298">
        <v>0.31868142208094846</v>
      </c>
      <c r="O71" s="298">
        <v>0.22626624756676589</v>
      </c>
      <c r="P71" s="298">
        <v>0.1789795622711387</v>
      </c>
      <c r="Q71" s="298">
        <v>0.13966052871548112</v>
      </c>
      <c r="R71" s="298">
        <v>0.13247290047204982</v>
      </c>
      <c r="S71" s="298">
        <v>0.13247290047204982</v>
      </c>
      <c r="T71" s="298">
        <v>0.13247290047204982</v>
      </c>
      <c r="U71" s="298">
        <v>0.13247290047204982</v>
      </c>
    </row>
    <row r="72" spans="1:21" ht="14.4" x14ac:dyDescent="0.3">
      <c r="A72" s="43">
        <v>10</v>
      </c>
      <c r="B72" s="43"/>
      <c r="C72" s="1"/>
      <c r="D72" s="298">
        <v>0.2294007148283545</v>
      </c>
      <c r="E72" s="298">
        <v>4.67408371331944E-2</v>
      </c>
      <c r="F72" s="298">
        <v>3.9171017790739594E-2</v>
      </c>
      <c r="G72" s="298">
        <v>3.1896110289054799E-2</v>
      </c>
      <c r="H72" s="298">
        <v>9.7072760067846587E-3</v>
      </c>
      <c r="I72" s="298">
        <v>1.3760275349404955E-2</v>
      </c>
      <c r="J72" s="298">
        <v>1.2351163020258928E-2</v>
      </c>
      <c r="K72" s="298">
        <v>7.8770677291336265E-3</v>
      </c>
      <c r="L72" s="298">
        <v>6.6241460677741474E-3</v>
      </c>
      <c r="M72" s="298">
        <v>9.5446111698385379E-4</v>
      </c>
      <c r="N72" s="298">
        <v>5.9000829249238182E-3</v>
      </c>
      <c r="O72" s="298">
        <v>2.8410236973985879E-3</v>
      </c>
      <c r="P72" s="298">
        <v>3.0933034144878684E-3</v>
      </c>
      <c r="Q72" s="298">
        <v>1.7024651539385351E-3</v>
      </c>
      <c r="R72" s="298">
        <v>3.8405411483555876E-3</v>
      </c>
      <c r="S72" s="298">
        <v>3.8405411483555876E-3</v>
      </c>
      <c r="T72" s="298">
        <v>3.8405411483555876E-3</v>
      </c>
      <c r="U72" s="298">
        <v>3.8405411483555876E-3</v>
      </c>
    </row>
    <row r="73" spans="1:21" ht="14.4" x14ac:dyDescent="0.3">
      <c r="A73" s="43">
        <v>11</v>
      </c>
      <c r="B73" s="43"/>
      <c r="C73" s="1"/>
      <c r="D73" s="298">
        <v>69.048567707776243</v>
      </c>
      <c r="E73" s="298">
        <v>33.685348584817774</v>
      </c>
      <c r="F73" s="298">
        <v>15.583787301158949</v>
      </c>
      <c r="G73" s="298">
        <v>6.5636008603412694</v>
      </c>
      <c r="H73" s="298">
        <v>7.6797975872700235</v>
      </c>
      <c r="I73" s="298">
        <v>7.4570840283088478</v>
      </c>
      <c r="J73" s="298">
        <v>6.9055670232180777</v>
      </c>
      <c r="K73" s="298">
        <v>6.5341193000171698</v>
      </c>
      <c r="L73" s="298">
        <v>6.0786150094839924</v>
      </c>
      <c r="M73" s="298">
        <v>5.6151234987755405</v>
      </c>
      <c r="N73" s="298">
        <v>4.7731220793376856</v>
      </c>
      <c r="O73" s="298">
        <v>4.037747204995374</v>
      </c>
      <c r="P73" s="298">
        <v>3.4442053406397228</v>
      </c>
      <c r="Q73" s="298">
        <v>2.6571079286057731</v>
      </c>
      <c r="R73" s="298">
        <v>2.6319335627413896</v>
      </c>
      <c r="S73" s="298">
        <v>2.6319335627413896</v>
      </c>
      <c r="T73" s="298">
        <v>2.6319335627413896</v>
      </c>
      <c r="U73" s="298">
        <v>2.6319335627413896</v>
      </c>
    </row>
    <row r="74" spans="1:21" ht="14.4" x14ac:dyDescent="0.3">
      <c r="A74" s="43">
        <v>12</v>
      </c>
      <c r="B74" s="43"/>
      <c r="C74" s="1"/>
      <c r="D74" s="298">
        <v>4.3926126021925166E-2</v>
      </c>
      <c r="E74" s="298">
        <v>1.2877494467594758E-2</v>
      </c>
      <c r="F74" s="298">
        <v>4.5954157397374695E-3</v>
      </c>
      <c r="G74" s="298">
        <v>5.329225146697902E-3</v>
      </c>
      <c r="H74" s="298">
        <v>1.7455825337836627E-3</v>
      </c>
      <c r="I74" s="298">
        <v>6.1922252654432195E-3</v>
      </c>
      <c r="J74" s="298">
        <v>4.6340307760456886E-3</v>
      </c>
      <c r="K74" s="298">
        <v>1.2658928420938899E-3</v>
      </c>
      <c r="L74" s="298">
        <v>7.2345470714335765E-4</v>
      </c>
      <c r="M74" s="298">
        <v>2.8137542278655172E-3</v>
      </c>
      <c r="N74" s="298">
        <v>3.3387817150023614E-3</v>
      </c>
      <c r="O74" s="298">
        <v>7.0415228820549169E-4</v>
      </c>
      <c r="P74" s="298">
        <v>3.2866827675993235E-3</v>
      </c>
      <c r="Q74" s="298">
        <v>2.129932191298423E-3</v>
      </c>
      <c r="R74" s="298">
        <v>3.0726078205235829E-3</v>
      </c>
      <c r="S74" s="298">
        <v>3.0726078205235829E-3</v>
      </c>
      <c r="T74" s="298">
        <v>3.0726078205235829E-3</v>
      </c>
      <c r="U74" s="298">
        <v>3.0726078205235829E-3</v>
      </c>
    </row>
    <row r="75" spans="1:21" ht="14.4" x14ac:dyDescent="0.3">
      <c r="A75" s="43">
        <v>13</v>
      </c>
      <c r="B75" s="43"/>
      <c r="C75" s="1"/>
      <c r="D75" s="298">
        <v>57.626071680473594</v>
      </c>
      <c r="E75" s="298">
        <v>19.008833408591933</v>
      </c>
      <c r="F75" s="298">
        <v>6.0811074483745449</v>
      </c>
      <c r="G75" s="298">
        <v>6.4203508662030933</v>
      </c>
      <c r="H75" s="298">
        <v>4.053836065316168</v>
      </c>
      <c r="I75" s="298">
        <v>3.136813925533426</v>
      </c>
      <c r="J75" s="298">
        <v>3.2687886565984781</v>
      </c>
      <c r="K75" s="298">
        <v>3.1927019928471165</v>
      </c>
      <c r="L75" s="298">
        <v>3.1590323561450395</v>
      </c>
      <c r="M75" s="298">
        <v>3.1114405010378423</v>
      </c>
      <c r="N75" s="298">
        <v>2.9413990501469054</v>
      </c>
      <c r="O75" s="298">
        <v>2.6891381919916104</v>
      </c>
      <c r="P75" s="298">
        <v>2.4129113867682368</v>
      </c>
      <c r="Q75" s="298">
        <v>1.9019132140355048</v>
      </c>
      <c r="R75" s="298">
        <v>1.9731316672454773</v>
      </c>
      <c r="S75" s="298">
        <v>1.9731316672454773</v>
      </c>
      <c r="T75" s="298">
        <v>1.9731316672454773</v>
      </c>
      <c r="U75" s="298">
        <v>1.9731316672454773</v>
      </c>
    </row>
    <row r="76" spans="1:21" ht="14.4" x14ac:dyDescent="0.3">
      <c r="A76" s="43">
        <v>14</v>
      </c>
      <c r="B76" s="43"/>
      <c r="C76" s="1"/>
      <c r="D76" s="298">
        <v>0.20927403927484672</v>
      </c>
      <c r="E76" s="298">
        <v>5.5602611265487843E-2</v>
      </c>
      <c r="F76" s="298">
        <v>4.0150680983375708E-2</v>
      </c>
      <c r="G76" s="298">
        <v>1.1364022598705132E-2</v>
      </c>
      <c r="H76" s="298">
        <v>1.5808693433503308E-2</v>
      </c>
      <c r="I76" s="298">
        <v>1.1300571663228018E-2</v>
      </c>
      <c r="J76" s="298">
        <v>1.3986444352451872E-2</v>
      </c>
      <c r="K76" s="298">
        <v>1.3726550136797936E-2</v>
      </c>
      <c r="L76" s="298">
        <v>1.2922710779955417E-2</v>
      </c>
      <c r="M76" s="298">
        <v>6.7573395777536377E-3</v>
      </c>
      <c r="N76" s="298">
        <v>6.0541163970223889E-3</v>
      </c>
      <c r="O76" s="298">
        <v>8.8566143641728831E-4</v>
      </c>
      <c r="P76" s="298">
        <v>4.5856434142929501E-3</v>
      </c>
      <c r="Q76" s="298">
        <v>2.3769049086772155E-3</v>
      </c>
      <c r="R76" s="298">
        <v>2.1687917940923906E-3</v>
      </c>
      <c r="S76" s="298">
        <v>2.1687917940923906E-3</v>
      </c>
      <c r="T76" s="298">
        <v>2.1687917940923906E-3</v>
      </c>
      <c r="U76" s="298">
        <v>2.1687917940923906E-3</v>
      </c>
    </row>
    <row r="77" spans="1:21" ht="14.4" x14ac:dyDescent="0.3">
      <c r="A77" s="43">
        <v>15</v>
      </c>
      <c r="B77" s="43"/>
      <c r="C77" s="1"/>
      <c r="D77" s="298">
        <v>1.136851568371505</v>
      </c>
      <c r="E77" s="298">
        <v>0.23095610968918576</v>
      </c>
      <c r="F77" s="298">
        <v>0.45935010470309795</v>
      </c>
      <c r="G77" s="298">
        <v>0.33979479464125767</v>
      </c>
      <c r="H77" s="298">
        <v>0.19877874639876153</v>
      </c>
      <c r="I77" s="298">
        <v>0.6117370588990978</v>
      </c>
      <c r="J77" s="298">
        <v>0.7739736036483279</v>
      </c>
      <c r="K77" s="298">
        <v>0.47689818111624066</v>
      </c>
      <c r="L77" s="298">
        <v>0.32445444976062632</v>
      </c>
      <c r="M77" s="298">
        <v>0.24590737646040681</v>
      </c>
      <c r="N77" s="298">
        <v>0.17863761703347875</v>
      </c>
      <c r="O77" s="298">
        <v>0.15238590146764369</v>
      </c>
      <c r="P77" s="298">
        <v>0.13879587874692803</v>
      </c>
      <c r="Q77" s="298">
        <v>0.10849930149243135</v>
      </c>
      <c r="R77" s="298">
        <v>0.10438708261063094</v>
      </c>
      <c r="S77" s="298">
        <v>0.10438708261063094</v>
      </c>
      <c r="T77" s="298">
        <v>0.10438708261063094</v>
      </c>
      <c r="U77" s="298">
        <v>0.10438708261063094</v>
      </c>
    </row>
    <row r="78" spans="1:21" ht="14.4" x14ac:dyDescent="0.3">
      <c r="A78" s="43">
        <v>16</v>
      </c>
      <c r="B78" s="43"/>
      <c r="C78" s="1"/>
      <c r="D78" s="298">
        <v>0.21260480542905863</v>
      </c>
      <c r="E78" s="298">
        <v>5.5251059810874539E-2</v>
      </c>
      <c r="F78" s="298">
        <v>2.9549060045343564E-2</v>
      </c>
      <c r="G78" s="298">
        <v>1.9149260351853523E-2</v>
      </c>
      <c r="H78" s="298">
        <v>8.8894084206710914E-3</v>
      </c>
      <c r="I78" s="298">
        <v>9.8004503653837914E-3</v>
      </c>
      <c r="J78" s="298">
        <v>9.3355107602731344E-3</v>
      </c>
      <c r="K78" s="298">
        <v>1.1176506405604431E-2</v>
      </c>
      <c r="L78" s="298">
        <v>1.0797812516310075E-2</v>
      </c>
      <c r="M78" s="298">
        <v>4.9258459762198314E-3</v>
      </c>
      <c r="N78" s="298">
        <v>1.5412362332936629E-3</v>
      </c>
      <c r="O78" s="298">
        <v>1.7707278526791228E-3</v>
      </c>
      <c r="P78" s="298">
        <v>3.8905467511792919E-3</v>
      </c>
      <c r="Q78" s="298">
        <v>3.1270051788819786E-3</v>
      </c>
      <c r="R78" s="298">
        <v>2.7546885466757905E-3</v>
      </c>
      <c r="S78" s="298">
        <v>2.7546885466757905E-3</v>
      </c>
      <c r="T78" s="298">
        <v>2.7546885466757905E-3</v>
      </c>
      <c r="U78" s="298">
        <v>2.7546885466757905E-3</v>
      </c>
    </row>
    <row r="79" spans="1:21" ht="14.4" x14ac:dyDescent="0.3">
      <c r="A79" s="43">
        <v>17</v>
      </c>
      <c r="B79" s="43"/>
      <c r="C79" s="1"/>
      <c r="D79" s="299">
        <v>38.305868434141544</v>
      </c>
      <c r="E79" s="298">
        <v>5.2999903687276673</v>
      </c>
      <c r="F79" s="298">
        <v>6.2578007441416821</v>
      </c>
      <c r="G79" s="299">
        <v>3.651615692351549</v>
      </c>
      <c r="H79" s="299">
        <v>3.9361368606820331</v>
      </c>
      <c r="I79" s="299">
        <v>3.5365888642625669</v>
      </c>
      <c r="J79" s="298">
        <v>2.7954962272937816</v>
      </c>
      <c r="K79" s="298">
        <v>2.4617473384512585</v>
      </c>
      <c r="L79" s="298">
        <v>2.1281057585635259</v>
      </c>
      <c r="M79" s="298">
        <v>1.850567348179557</v>
      </c>
      <c r="N79" s="299">
        <v>1.5324828885585096</v>
      </c>
      <c r="O79" s="298">
        <v>1.4251739565426205</v>
      </c>
      <c r="P79" s="298">
        <v>1.4117622874341469</v>
      </c>
      <c r="Q79" s="298">
        <v>1.3485789449567889</v>
      </c>
      <c r="R79" s="298">
        <v>1.3516864824509252</v>
      </c>
      <c r="S79" s="298">
        <v>1.3516864824509252</v>
      </c>
      <c r="T79" s="298">
        <v>1.3516864824509252</v>
      </c>
      <c r="U79" s="298">
        <v>1.3516864824509252</v>
      </c>
    </row>
    <row r="80" spans="1:21" ht="14.4" x14ac:dyDescent="0.3">
      <c r="A80" s="43">
        <v>18</v>
      </c>
      <c r="B80" s="43"/>
      <c r="C80" s="1"/>
      <c r="D80" s="298">
        <v>6.8073317161051342E-3</v>
      </c>
      <c r="E80" s="298">
        <v>4.4855023970696963E-3</v>
      </c>
      <c r="F80" s="298">
        <v>3.7080452251308581E-3</v>
      </c>
      <c r="G80" s="298">
        <v>4.1891794258732719E-3</v>
      </c>
      <c r="H80" s="298">
        <v>2.5800652861531514E-3</v>
      </c>
      <c r="I80" s="298">
        <v>5.1323452366736095E-3</v>
      </c>
      <c r="J80" s="298">
        <v>3.2624660891922676E-3</v>
      </c>
      <c r="K80" s="298">
        <v>9.7248963017647263E-4</v>
      </c>
      <c r="L80" s="298">
        <v>5.3824967182370125E-4</v>
      </c>
      <c r="M80" s="298">
        <v>3.4207800467921257E-3</v>
      </c>
      <c r="N80" s="298">
        <v>2.3022193218101682E-3</v>
      </c>
      <c r="O80" s="298">
        <v>7.1766985210155283E-4</v>
      </c>
      <c r="P80" s="298">
        <v>1.6747979107749516E-3</v>
      </c>
      <c r="Q80" s="298">
        <v>1.0243399597807483E-3</v>
      </c>
      <c r="R80" s="298">
        <v>2.7645882744071495E-3</v>
      </c>
      <c r="S80" s="298">
        <v>2.7645882744071495E-3</v>
      </c>
      <c r="T80" s="298">
        <v>2.7645882744071495E-3</v>
      </c>
      <c r="U80" s="298">
        <v>2.7645882744071495E-3</v>
      </c>
    </row>
    <row r="81" spans="1:21" ht="14.4" x14ac:dyDescent="0.3">
      <c r="A81" s="43">
        <v>19</v>
      </c>
      <c r="B81" s="43"/>
      <c r="C81" s="1"/>
      <c r="D81" s="298">
        <v>28.12675018493254</v>
      </c>
      <c r="E81" s="298">
        <v>5.7694235730205383</v>
      </c>
      <c r="F81" s="298">
        <v>4.4923444139523241</v>
      </c>
      <c r="G81" s="298">
        <v>2.461818140179882</v>
      </c>
      <c r="H81" s="298">
        <v>1.5612033953483941</v>
      </c>
      <c r="I81" s="298">
        <v>1.435344927819425</v>
      </c>
      <c r="J81" s="298">
        <v>1.8152549557696753</v>
      </c>
      <c r="K81" s="298">
        <v>1.7533389509717254</v>
      </c>
      <c r="L81" s="298">
        <v>1.6441205577377018</v>
      </c>
      <c r="M81" s="298">
        <v>1.5015094716885002</v>
      </c>
      <c r="N81" s="298">
        <v>1.1978760529333901</v>
      </c>
      <c r="O81" s="298">
        <v>0.96493434637770215</v>
      </c>
      <c r="P81" s="298">
        <v>0.86230538911097832</v>
      </c>
      <c r="Q81" s="298">
        <v>0.87143134542122158</v>
      </c>
      <c r="R81" s="298">
        <v>0.89423887387252965</v>
      </c>
      <c r="S81" s="298">
        <v>0.89423887387252965</v>
      </c>
      <c r="T81" s="298">
        <v>0.89423887387252965</v>
      </c>
      <c r="U81" s="298">
        <v>0.89423887387252965</v>
      </c>
    </row>
    <row r="82" spans="1:21" ht="14.4" x14ac:dyDescent="0.3">
      <c r="A82" s="43">
        <v>20</v>
      </c>
      <c r="B82" s="43"/>
      <c r="C82" s="1"/>
      <c r="D82" s="298">
        <v>0.16228025606892954</v>
      </c>
      <c r="E82" s="298">
        <v>3.4304595434386999E-2</v>
      </c>
      <c r="F82" s="298">
        <v>3.603503131369204E-2</v>
      </c>
      <c r="G82" s="298">
        <v>1.3414457398225953E-2</v>
      </c>
      <c r="H82" s="298">
        <v>1.3820648138552563E-2</v>
      </c>
      <c r="I82" s="298">
        <v>1.2553645285502412E-2</v>
      </c>
      <c r="J82" s="298">
        <v>1.1519216055600136E-2</v>
      </c>
      <c r="K82" s="298">
        <v>1.2482583619361326E-2</v>
      </c>
      <c r="L82" s="298">
        <v>1.0659586926913772E-2</v>
      </c>
      <c r="M82" s="298">
        <v>3.9990621565117561E-3</v>
      </c>
      <c r="N82" s="298">
        <v>4.289924599988241E-3</v>
      </c>
      <c r="O82" s="298">
        <v>2.3631359410929234E-3</v>
      </c>
      <c r="P82" s="298">
        <v>2.0372139828744758E-3</v>
      </c>
      <c r="Q82" s="298">
        <v>2.6099379219788315E-3</v>
      </c>
      <c r="R82" s="298">
        <v>3.3164014470484933E-3</v>
      </c>
      <c r="S82" s="298">
        <v>3.3164014470484933E-3</v>
      </c>
      <c r="T82" s="298">
        <v>3.3164014470484933E-3</v>
      </c>
      <c r="U82" s="298">
        <v>3.3164014470484933E-3</v>
      </c>
    </row>
    <row r="83" spans="1:21" ht="14.4" x14ac:dyDescent="0.3">
      <c r="A83" s="43">
        <v>21</v>
      </c>
      <c r="B83" s="43"/>
      <c r="C83" s="1"/>
      <c r="D83" s="298">
        <v>0.62329316321319206</v>
      </c>
      <c r="E83" s="298">
        <v>0.38652912360520963</v>
      </c>
      <c r="F83" s="298">
        <v>0.28848587809075404</v>
      </c>
      <c r="G83" s="298">
        <v>0.2327624797312611</v>
      </c>
      <c r="H83" s="298">
        <v>0.12695962714013889</v>
      </c>
      <c r="I83" s="298">
        <v>0.43156831387325317</v>
      </c>
      <c r="J83" s="298">
        <v>0.51232861946084751</v>
      </c>
      <c r="K83" s="298">
        <v>0.33639919482821595</v>
      </c>
      <c r="L83" s="298">
        <v>0.24976274080004948</v>
      </c>
      <c r="M83" s="298">
        <v>0.20143664947276263</v>
      </c>
      <c r="N83" s="298">
        <v>0.14886071320433725</v>
      </c>
      <c r="O83" s="298">
        <v>0.11057082122039739</v>
      </c>
      <c r="P83" s="298">
        <v>8.69095877563483E-2</v>
      </c>
      <c r="Q83" s="298">
        <v>6.469840401868561E-2</v>
      </c>
      <c r="R83" s="298">
        <v>6.207334554446476E-2</v>
      </c>
      <c r="S83" s="298">
        <v>6.207334554446476E-2</v>
      </c>
      <c r="T83" s="298">
        <v>6.207334554446476E-2</v>
      </c>
      <c r="U83" s="298">
        <v>6.207334554446476E-2</v>
      </c>
    </row>
    <row r="84" spans="1:21" ht="14.4" x14ac:dyDescent="0.3">
      <c r="A84" s="43">
        <v>22</v>
      </c>
      <c r="B84" s="43"/>
      <c r="C84" s="1"/>
      <c r="D84" s="298">
        <v>0.10196628651957353</v>
      </c>
      <c r="E84" s="298">
        <v>3.8702088424270906E-2</v>
      </c>
      <c r="F84" s="298">
        <v>3.2940823141321553E-2</v>
      </c>
      <c r="G84" s="298">
        <v>1.4397088226243407E-2</v>
      </c>
      <c r="H84" s="298">
        <v>8.0433131135157904E-3</v>
      </c>
      <c r="I84" s="298">
        <v>9.1411482785596215E-3</v>
      </c>
      <c r="J84" s="298">
        <v>1.3328297513609087E-2</v>
      </c>
      <c r="K84" s="298">
        <v>9.9334339431091864E-3</v>
      </c>
      <c r="L84" s="298">
        <v>8.7776949548354632E-3</v>
      </c>
      <c r="M84" s="298">
        <v>2.8422690440152187E-3</v>
      </c>
      <c r="N84" s="298">
        <v>1.7693174251628295E-3</v>
      </c>
      <c r="O84" s="298">
        <v>2.3683965026528521E-3</v>
      </c>
      <c r="P84" s="298">
        <v>2.2687748359132434E-3</v>
      </c>
      <c r="Q84" s="298">
        <v>3.2956893394252857E-3</v>
      </c>
      <c r="R84" s="298">
        <v>3.1845733198832878E-3</v>
      </c>
      <c r="S84" s="298">
        <v>3.1845733198832878E-3</v>
      </c>
      <c r="T84" s="298">
        <v>3.1845733198832878E-3</v>
      </c>
      <c r="U84" s="298">
        <v>3.1845733198832878E-3</v>
      </c>
    </row>
    <row r="85" spans="1:21" ht="14.4" x14ac:dyDescent="0.3">
      <c r="A85" s="43">
        <v>23</v>
      </c>
      <c r="B85" s="43"/>
      <c r="C85" s="1"/>
      <c r="D85" s="298">
        <v>14.111336248333169</v>
      </c>
      <c r="E85" s="298">
        <v>4.5502762773923147</v>
      </c>
      <c r="F85" s="298">
        <v>2.8173069900787024</v>
      </c>
      <c r="G85" s="298">
        <v>2.0670952688936821</v>
      </c>
      <c r="H85" s="298">
        <v>2.2928087910650583</v>
      </c>
      <c r="I85" s="298">
        <v>1.9472020944612196</v>
      </c>
      <c r="J85" s="298">
        <v>1.3645089433593613</v>
      </c>
      <c r="K85" s="298">
        <v>1.1709027163413299</v>
      </c>
      <c r="L85" s="298">
        <v>1.0449622436221531</v>
      </c>
      <c r="M85" s="298">
        <v>0.98668776275695924</v>
      </c>
      <c r="N85" s="298">
        <v>0.97151910927620677</v>
      </c>
      <c r="O85" s="298">
        <v>0.91499109629030073</v>
      </c>
      <c r="P85" s="298">
        <v>0.81941237005377587</v>
      </c>
      <c r="Q85" s="298">
        <v>0.64151011524075341</v>
      </c>
      <c r="R85" s="298">
        <v>0.64347399672352978</v>
      </c>
      <c r="S85" s="298">
        <v>0.64347399672352978</v>
      </c>
      <c r="T85" s="298">
        <v>0.64347399672352978</v>
      </c>
      <c r="U85" s="298">
        <v>0.64347399672352978</v>
      </c>
    </row>
    <row r="86" spans="1:21" ht="14.4" x14ac:dyDescent="0.3">
      <c r="A86" s="43">
        <v>24</v>
      </c>
      <c r="B86" s="43"/>
      <c r="C86" s="1"/>
      <c r="D86" s="298">
        <v>3.6824454901743818E-2</v>
      </c>
      <c r="E86" s="298">
        <v>9.8382681602157043E-3</v>
      </c>
      <c r="F86" s="298">
        <v>2.4869442257516557E-3</v>
      </c>
      <c r="G86" s="298">
        <v>3.7823320015961076E-3</v>
      </c>
      <c r="H86" s="298">
        <v>3.0035667733548503E-3</v>
      </c>
      <c r="I86" s="298">
        <v>5.3235417328994826E-3</v>
      </c>
      <c r="J86" s="298">
        <v>5.8116700278296428E-3</v>
      </c>
      <c r="K86" s="298">
        <v>2.9855222275943743E-3</v>
      </c>
      <c r="L86" s="298">
        <v>2.3272957918215429E-3</v>
      </c>
      <c r="M86" s="298">
        <v>3.1075268606800422E-3</v>
      </c>
      <c r="N86" s="298">
        <v>1.6642059470906843E-3</v>
      </c>
      <c r="O86" s="298">
        <v>5.0465814106315395E-4</v>
      </c>
      <c r="P86" s="298">
        <v>2.4652728971896356E-3</v>
      </c>
      <c r="Q86" s="298">
        <v>5.6815989694872823E-4</v>
      </c>
      <c r="R86" s="298">
        <v>2.910084521893625E-3</v>
      </c>
      <c r="S86" s="298">
        <v>2.910084521893625E-3</v>
      </c>
      <c r="T86" s="298">
        <v>2.910084521893625E-3</v>
      </c>
      <c r="U86" s="298">
        <v>2.910084521893625E-3</v>
      </c>
    </row>
    <row r="87" spans="1:21" ht="14.4" x14ac:dyDescent="0.3">
      <c r="A87" s="43">
        <v>25</v>
      </c>
      <c r="B87" s="43"/>
      <c r="C87" s="1"/>
      <c r="D87" s="298">
        <v>9.1460847189836905</v>
      </c>
      <c r="E87" s="298">
        <v>3.3287755929835949</v>
      </c>
      <c r="F87" s="298">
        <v>2.4769082641614584</v>
      </c>
      <c r="G87" s="298">
        <v>1.4065816239828657</v>
      </c>
      <c r="H87" s="298">
        <v>0.9812541545579192</v>
      </c>
      <c r="I87" s="298">
        <v>0.87516515937476913</v>
      </c>
      <c r="J87" s="298">
        <v>1.0203047520164361</v>
      </c>
      <c r="K87" s="298">
        <v>0.89181945133108653</v>
      </c>
      <c r="L87" s="298">
        <v>0.77335390981045959</v>
      </c>
      <c r="M87" s="298">
        <v>0.680943962179267</v>
      </c>
      <c r="N87" s="298">
        <v>0.60410783726699213</v>
      </c>
      <c r="O87" s="298">
        <v>0.59625159344747769</v>
      </c>
      <c r="P87" s="298">
        <v>0.57911197721694829</v>
      </c>
      <c r="Q87" s="298">
        <v>0.47588131924725879</v>
      </c>
      <c r="R87" s="298">
        <v>0.48332856078705327</v>
      </c>
      <c r="S87" s="298">
        <v>0.48332856078705327</v>
      </c>
      <c r="T87" s="298">
        <v>0.48332856078705327</v>
      </c>
      <c r="U87" s="298">
        <v>0.48332856078705327</v>
      </c>
    </row>
    <row r="88" spans="1:21" ht="14.4" x14ac:dyDescent="0.3">
      <c r="A88" s="43">
        <v>26</v>
      </c>
      <c r="B88" s="43"/>
      <c r="C88" s="1"/>
      <c r="D88" s="298">
        <v>5.0821504219815294E-2</v>
      </c>
      <c r="E88" s="298">
        <v>5.5062549483802257E-2</v>
      </c>
      <c r="F88" s="298">
        <v>2.6569838221547654E-2</v>
      </c>
      <c r="G88" s="298">
        <v>1.7180710354120391E-2</v>
      </c>
      <c r="H88" s="298">
        <v>1.4413765296386657E-2</v>
      </c>
      <c r="I88" s="298">
        <v>1.340051166752103E-2</v>
      </c>
      <c r="J88" s="298">
        <v>1.2261667576280695E-2</v>
      </c>
      <c r="K88" s="298">
        <v>1.1494261330574136E-2</v>
      </c>
      <c r="L88" s="298">
        <v>1.1502164549246671E-2</v>
      </c>
      <c r="M88" s="298">
        <v>6.3586835670058186E-3</v>
      </c>
      <c r="N88" s="298">
        <v>5.7283366829020497E-3</v>
      </c>
      <c r="O88" s="298">
        <v>1.4156391535011382E-3</v>
      </c>
      <c r="P88" s="298">
        <v>2.35923526977449E-3</v>
      </c>
      <c r="Q88" s="298">
        <v>3.048115692564884E-3</v>
      </c>
      <c r="R88" s="298">
        <v>2.505817916151253E-3</v>
      </c>
      <c r="S88" s="298">
        <v>2.505817916151253E-3</v>
      </c>
      <c r="T88" s="298">
        <v>2.505817916151253E-3</v>
      </c>
      <c r="U88" s="298">
        <v>2.505817916151253E-3</v>
      </c>
    </row>
    <row r="89" spans="1:21" ht="14.4" x14ac:dyDescent="0.3">
      <c r="A89" s="43">
        <v>27</v>
      </c>
      <c r="B89" s="43"/>
      <c r="C89" s="1"/>
      <c r="D89" s="298">
        <v>0.21238680360962095</v>
      </c>
      <c r="E89" s="298">
        <v>0.25707405179893289</v>
      </c>
      <c r="F89" s="298">
        <v>0.16073741316951387</v>
      </c>
      <c r="G89" s="298">
        <v>0.17380962651022741</v>
      </c>
      <c r="H89" s="298">
        <v>9.1193806224074303E-2</v>
      </c>
      <c r="I89" s="298">
        <v>0.33088372878460953</v>
      </c>
      <c r="J89" s="298">
        <v>0.40809218499146371</v>
      </c>
      <c r="K89" s="298">
        <v>0.28326195110267732</v>
      </c>
      <c r="L89" s="298">
        <v>0.20563582476045428</v>
      </c>
      <c r="M89" s="298">
        <v>0.15760505021576746</v>
      </c>
      <c r="N89" s="298">
        <v>9.9377043514666238E-2</v>
      </c>
      <c r="O89" s="298">
        <v>7.5391622206023953E-2</v>
      </c>
      <c r="P89" s="298">
        <v>6.8011485955306775E-2</v>
      </c>
      <c r="Q89" s="298">
        <v>5.56664765461901E-2</v>
      </c>
      <c r="R89" s="298">
        <v>5.3354821022066533E-2</v>
      </c>
      <c r="S89" s="298">
        <v>5.3354821022066533E-2</v>
      </c>
      <c r="T89" s="298">
        <v>5.3354821022066533E-2</v>
      </c>
      <c r="U89" s="298">
        <v>5.3354821022066533E-2</v>
      </c>
    </row>
    <row r="90" spans="1:21" ht="14.4" x14ac:dyDescent="0.3">
      <c r="A90" s="43">
        <v>28</v>
      </c>
      <c r="B90" s="43"/>
      <c r="C90" s="1"/>
      <c r="D90" s="298">
        <v>1.9392625777396737E-2</v>
      </c>
      <c r="E90" s="298">
        <v>4.7102518518670457E-2</v>
      </c>
      <c r="F90" s="298">
        <v>2.8971418661601897E-2</v>
      </c>
      <c r="G90" s="298">
        <v>1.1872541264805246E-2</v>
      </c>
      <c r="H90" s="298">
        <v>6.9611130983163278E-3</v>
      </c>
      <c r="I90" s="298">
        <v>8.5362681900183323E-3</v>
      </c>
      <c r="J90" s="298">
        <v>1.2556658041302614E-2</v>
      </c>
      <c r="K90" s="298">
        <v>1.0537656791068419E-2</v>
      </c>
      <c r="L90" s="298">
        <v>9.2930775732190107E-3</v>
      </c>
      <c r="M90" s="298">
        <v>3.3090135809581808E-3</v>
      </c>
      <c r="N90" s="298">
        <v>8.4429509332862738E-4</v>
      </c>
      <c r="O90" s="298">
        <v>1.7536756837702497E-3</v>
      </c>
      <c r="P90" s="298">
        <v>1.2486380283558422E-3</v>
      </c>
      <c r="Q90" s="298">
        <v>3.2293207653354824E-3</v>
      </c>
      <c r="R90" s="298">
        <v>2.7333925969108054E-3</v>
      </c>
      <c r="S90" s="298">
        <v>2.7333925969108054E-3</v>
      </c>
      <c r="T90" s="298">
        <v>2.7333925969108054E-3</v>
      </c>
      <c r="U90" s="298">
        <v>2.7333925969108054E-3</v>
      </c>
    </row>
    <row r="91" spans="1:21" ht="14.4" x14ac:dyDescent="0.3">
      <c r="A91" s="43">
        <v>29</v>
      </c>
      <c r="B91" s="43"/>
      <c r="C91" s="1"/>
      <c r="D91" s="298">
        <v>6.5146861253923207</v>
      </c>
      <c r="E91" s="298">
        <v>2.6788137999966111</v>
      </c>
      <c r="F91" s="298">
        <v>1.6106667515221753</v>
      </c>
      <c r="G91" s="298">
        <v>1.3975423047728013</v>
      </c>
      <c r="H91" s="298">
        <v>1.3999934630363924</v>
      </c>
      <c r="I91" s="298">
        <v>1.0907850218496227</v>
      </c>
      <c r="J91" s="298">
        <v>0.75870567381450926</v>
      </c>
      <c r="K91" s="298">
        <v>0.75678843679568575</v>
      </c>
      <c r="L91" s="298">
        <v>0.75575983296320848</v>
      </c>
      <c r="M91" s="298">
        <v>0.72478506133268517</v>
      </c>
      <c r="N91" s="298">
        <v>0.61840577400138186</v>
      </c>
      <c r="O91" s="298">
        <v>0.50578743449988961</v>
      </c>
      <c r="P91" s="298">
        <v>0.46727025134098182</v>
      </c>
      <c r="Q91" s="298">
        <v>0.45386743782930422</v>
      </c>
      <c r="R91" s="298">
        <v>0.4514293951690499</v>
      </c>
      <c r="S91" s="298">
        <v>0.4514293951690499</v>
      </c>
      <c r="T91" s="298">
        <v>0.4514293951690499</v>
      </c>
      <c r="U91" s="298">
        <v>0.4514293951690499</v>
      </c>
    </row>
    <row r="92" spans="1:21" ht="14.4" x14ac:dyDescent="0.3">
      <c r="A92" s="43">
        <v>30</v>
      </c>
      <c r="B92" s="43"/>
      <c r="C92" s="1"/>
      <c r="D92" s="298">
        <v>3.4884370898550648E-2</v>
      </c>
      <c r="E92" s="298">
        <v>4.1765772225850796E-3</v>
      </c>
      <c r="F92" s="298">
        <v>3.1945642193693534E-3</v>
      </c>
      <c r="G92" s="298">
        <v>3.60287707209932E-3</v>
      </c>
      <c r="H92" s="298">
        <v>3.2920300374340902E-3</v>
      </c>
      <c r="I92" s="298">
        <v>5.0314868423076246E-3</v>
      </c>
      <c r="J92" s="298">
        <v>4.6053075814346854E-3</v>
      </c>
      <c r="K92" s="298">
        <v>3.6991571943863818E-3</v>
      </c>
      <c r="L92" s="298">
        <v>1.9564019833816105E-3</v>
      </c>
      <c r="M92" s="298">
        <v>2.8717553777810353E-3</v>
      </c>
      <c r="N92" s="298">
        <v>2.6821760992090326E-3</v>
      </c>
      <c r="O92" s="298">
        <v>5.3985110846739104E-4</v>
      </c>
      <c r="P92" s="298">
        <v>8.6189772740157076E-4</v>
      </c>
      <c r="Q92" s="298">
        <v>7.0587971191137216E-4</v>
      </c>
      <c r="R92" s="298">
        <v>2.5967183728580682E-3</v>
      </c>
      <c r="S92" s="298">
        <v>2.5967183728580682E-3</v>
      </c>
      <c r="T92" s="298">
        <v>2.5967183728580682E-3</v>
      </c>
      <c r="U92" s="298">
        <v>2.5967183728580682E-3</v>
      </c>
    </row>
    <row r="93" spans="1:21" ht="14.4" x14ac:dyDescent="0.3">
      <c r="A93" s="43">
        <v>31</v>
      </c>
      <c r="B93" s="43"/>
      <c r="C93" s="1"/>
      <c r="D93" s="298">
        <v>6.3339107327432735</v>
      </c>
      <c r="E93" s="298">
        <v>2.4858685050570775</v>
      </c>
      <c r="F93" s="298">
        <v>1.4322222537619056</v>
      </c>
      <c r="G93" s="298">
        <v>0.82280279165842463</v>
      </c>
      <c r="H93" s="298">
        <v>0.68512353629472578</v>
      </c>
      <c r="I93" s="298">
        <v>0.58112005814292844</v>
      </c>
      <c r="J93" s="298">
        <v>0.56772740214173922</v>
      </c>
      <c r="K93" s="298">
        <v>0.46221863452787271</v>
      </c>
      <c r="L93" s="298">
        <v>0.42486576546865334</v>
      </c>
      <c r="M93" s="298">
        <v>0.43056874893088998</v>
      </c>
      <c r="N93" s="298">
        <v>0.43268010175951643</v>
      </c>
      <c r="O93" s="298">
        <v>0.37617527613812002</v>
      </c>
      <c r="P93" s="298">
        <v>0.31678577460681751</v>
      </c>
      <c r="Q93" s="298">
        <v>0.30877008317967913</v>
      </c>
      <c r="R93" s="298">
        <v>0.3120658886678041</v>
      </c>
      <c r="S93" s="298">
        <v>0.3120658886678041</v>
      </c>
      <c r="T93" s="298">
        <v>0.3120658886678041</v>
      </c>
      <c r="U93" s="298">
        <v>0.3120658886678041</v>
      </c>
    </row>
    <row r="94" spans="1:21" ht="14.4" x14ac:dyDescent="0.3">
      <c r="A94" s="43">
        <v>32</v>
      </c>
      <c r="B94" s="43"/>
      <c r="C94" s="1"/>
      <c r="D94" s="298">
        <v>4.6506205535545839E-2</v>
      </c>
      <c r="E94" s="298">
        <v>3.3260518350729629E-2</v>
      </c>
      <c r="F94" s="298">
        <v>2.9586195514357663E-2</v>
      </c>
      <c r="G94" s="298">
        <v>1.9535797704362808E-2</v>
      </c>
      <c r="H94" s="298">
        <v>1.4563606306652922E-2</v>
      </c>
      <c r="I94" s="298">
        <v>1.305927336868163E-2</v>
      </c>
      <c r="J94" s="298">
        <v>8.8970610246392086E-3</v>
      </c>
      <c r="K94" s="298">
        <v>1.1901375104307985E-2</v>
      </c>
      <c r="L94" s="298">
        <v>1.1921658515740853E-2</v>
      </c>
      <c r="M94" s="298">
        <v>5.9187663071225798E-3</v>
      </c>
      <c r="N94" s="298">
        <v>4.587462629749072E-3</v>
      </c>
      <c r="O94" s="298">
        <v>1.2699646308248702E-3</v>
      </c>
      <c r="P94" s="298">
        <v>2.2444292602197963E-3</v>
      </c>
      <c r="Q94" s="298">
        <v>2.8384966763810126E-3</v>
      </c>
      <c r="R94" s="298">
        <v>2.9287371239286731E-3</v>
      </c>
      <c r="S94" s="298">
        <v>2.9287371239286731E-3</v>
      </c>
      <c r="T94" s="298">
        <v>2.9287371239286731E-3</v>
      </c>
      <c r="U94" s="298">
        <v>2.9287371239286731E-3</v>
      </c>
    </row>
    <row r="95" spans="1:21" ht="14.4" x14ac:dyDescent="0.3">
      <c r="A95" s="43">
        <v>33</v>
      </c>
      <c r="B95" s="43"/>
      <c r="C95" s="1"/>
      <c r="D95" s="298">
        <v>0.30274927892914244</v>
      </c>
      <c r="E95" s="298">
        <v>1.7216657169820748E-2</v>
      </c>
      <c r="F95" s="298">
        <v>0.12233571605865014</v>
      </c>
      <c r="G95" s="298">
        <v>0.13605621192601108</v>
      </c>
      <c r="H95" s="298">
        <v>7.0763148414675126E-2</v>
      </c>
      <c r="I95" s="298">
        <v>0.26563628264177047</v>
      </c>
      <c r="J95" s="298">
        <v>0.34165566585023771</v>
      </c>
      <c r="K95" s="298">
        <v>0.22742267911109676</v>
      </c>
      <c r="L95" s="298">
        <v>0.15381673439332844</v>
      </c>
      <c r="M95" s="298">
        <v>0.11558930646976719</v>
      </c>
      <c r="N95" s="298">
        <v>8.4151409301761251E-2</v>
      </c>
      <c r="O95" s="298">
        <v>6.7503639523961864E-2</v>
      </c>
      <c r="P95" s="298">
        <v>5.6413371607669127E-2</v>
      </c>
      <c r="Q95" s="298">
        <v>4.1647697018963321E-2</v>
      </c>
      <c r="R95" s="298">
        <v>3.9799798597555773E-2</v>
      </c>
      <c r="S95" s="298">
        <v>3.9799798597555773E-2</v>
      </c>
      <c r="T95" s="298">
        <v>3.9799798597555773E-2</v>
      </c>
      <c r="U95" s="298">
        <v>3.9799798597555773E-2</v>
      </c>
    </row>
    <row r="96" spans="1:21" ht="14.4" x14ac:dyDescent="0.3">
      <c r="A96" s="43">
        <v>34</v>
      </c>
      <c r="B96" s="43"/>
      <c r="C96" s="1"/>
      <c r="D96" s="298">
        <v>0.15658261184107439</v>
      </c>
      <c r="E96" s="298">
        <v>6.9206297258360139E-2</v>
      </c>
      <c r="F96" s="298">
        <v>0.11719738000471913</v>
      </c>
      <c r="G96" s="298">
        <v>9.0950515996728487E-2</v>
      </c>
      <c r="H96" s="298">
        <v>5.6069430808107633E-2</v>
      </c>
      <c r="I96" s="298">
        <v>0.18457651004529252</v>
      </c>
      <c r="J96" s="298">
        <v>0.21861320828195963</v>
      </c>
      <c r="K96" s="298">
        <v>0.14805460867942424</v>
      </c>
      <c r="L96" s="298">
        <v>0.10865726471480185</v>
      </c>
      <c r="M96" s="298">
        <v>8.7921961526698345E-2</v>
      </c>
      <c r="N96" s="298">
        <v>5.8256465500538285E-2</v>
      </c>
      <c r="O96" s="298">
        <v>4.4253058727944716E-2</v>
      </c>
      <c r="P96" s="298">
        <v>3.9509788445304235E-2</v>
      </c>
      <c r="Q96" s="298">
        <v>2.9542651780987427E-2</v>
      </c>
      <c r="R96" s="298">
        <v>2.8071591122090556E-2</v>
      </c>
      <c r="S96" s="298">
        <v>2.8071591122090556E-2</v>
      </c>
      <c r="T96" s="298">
        <v>2.8071591122090556E-2</v>
      </c>
      <c r="U96" s="298">
        <v>2.8071591122090556E-2</v>
      </c>
    </row>
    <row r="97" spans="1:21" ht="14.4" x14ac:dyDescent="0.3">
      <c r="A97" s="43">
        <v>35</v>
      </c>
      <c r="B97" s="43"/>
      <c r="C97" s="1"/>
      <c r="D97" s="298">
        <v>5.9029852258662023</v>
      </c>
      <c r="E97" s="298">
        <v>1.4733260588243429</v>
      </c>
      <c r="F97" s="298">
        <v>1.2803616292235322</v>
      </c>
      <c r="G97" s="298">
        <v>1.0290257258239199</v>
      </c>
      <c r="H97" s="298">
        <v>0.95078684693100002</v>
      </c>
      <c r="I97" s="298">
        <v>0.68755518357204037</v>
      </c>
      <c r="J97" s="298">
        <v>0.51648077967213191</v>
      </c>
      <c r="K97" s="298">
        <v>0.5658478637815777</v>
      </c>
      <c r="L97" s="298">
        <v>0.55172205299175037</v>
      </c>
      <c r="M97" s="298">
        <v>0.48796466250698262</v>
      </c>
      <c r="N97" s="298">
        <v>0.39029335703643686</v>
      </c>
      <c r="O97" s="298">
        <v>0.36343466624775511</v>
      </c>
      <c r="P97" s="298">
        <v>0.35166631128246867</v>
      </c>
      <c r="Q97" s="298">
        <v>0.28545240285608292</v>
      </c>
      <c r="R97" s="298">
        <v>0.28281840150514814</v>
      </c>
      <c r="S97" s="298">
        <v>0.28281840150514814</v>
      </c>
      <c r="T97" s="298">
        <v>0.28281840150514814</v>
      </c>
      <c r="U97" s="298">
        <v>0.28281840150514814</v>
      </c>
    </row>
    <row r="98" spans="1:21" ht="14.4" x14ac:dyDescent="0.3">
      <c r="A98" s="43">
        <v>36</v>
      </c>
      <c r="B98" s="43"/>
      <c r="C98" s="1"/>
      <c r="D98" s="298">
        <v>0.15658261184107439</v>
      </c>
      <c r="E98" s="298">
        <v>6.9206297258360139E-2</v>
      </c>
      <c r="F98" s="298">
        <v>0.11719738000471913</v>
      </c>
      <c r="G98" s="298">
        <v>9.0950515996728487E-2</v>
      </c>
      <c r="H98" s="298">
        <v>5.6069430808107633E-2</v>
      </c>
      <c r="I98" s="298">
        <v>0.18457651004529252</v>
      </c>
      <c r="J98" s="298">
        <v>0.21861320828195963</v>
      </c>
      <c r="K98" s="298">
        <v>0.14805460867942424</v>
      </c>
      <c r="L98" s="298">
        <v>0.10865726471480185</v>
      </c>
      <c r="M98" s="298">
        <v>8.7921961526698345E-2</v>
      </c>
      <c r="N98" s="298">
        <v>5.8256465500538285E-2</v>
      </c>
      <c r="O98" s="298">
        <v>4.4253058727944716E-2</v>
      </c>
      <c r="P98" s="298">
        <v>3.9509788445304235E-2</v>
      </c>
      <c r="Q98" s="298">
        <v>2.9542651780987427E-2</v>
      </c>
      <c r="R98" s="298">
        <v>2.8071591122090556E-2</v>
      </c>
      <c r="S98" s="298">
        <v>2.8071591122090556E-2</v>
      </c>
      <c r="T98" s="298">
        <v>2.8071591122090556E-2</v>
      </c>
      <c r="U98" s="298">
        <v>2.8071591122090556E-2</v>
      </c>
    </row>
    <row r="99" spans="1:21" ht="14.4" x14ac:dyDescent="0.3">
      <c r="A99" s="43">
        <v>37</v>
      </c>
      <c r="B99" s="43"/>
      <c r="C99" s="1"/>
      <c r="D99" s="298">
        <v>4.7242605294817244</v>
      </c>
      <c r="E99" s="298">
        <v>1.4147795985274163</v>
      </c>
      <c r="F99" s="298">
        <v>0.86563302172429457</v>
      </c>
      <c r="G99" s="298">
        <v>0.58792408051231626</v>
      </c>
      <c r="H99" s="298">
        <v>0.44571284137714501</v>
      </c>
      <c r="I99" s="298">
        <v>0.35071388358174704</v>
      </c>
      <c r="J99" s="298">
        <v>0.34192356461046053</v>
      </c>
      <c r="K99" s="298">
        <v>0.32136315457507253</v>
      </c>
      <c r="L99" s="298">
        <v>0.32334277343163409</v>
      </c>
      <c r="M99" s="298">
        <v>0.31458122808120276</v>
      </c>
      <c r="N99" s="298">
        <v>0.26038899134139826</v>
      </c>
      <c r="O99" s="298">
        <v>0.23293659142238254</v>
      </c>
      <c r="P99" s="298">
        <v>0.23495243567481122</v>
      </c>
      <c r="Q99" s="298">
        <v>0.1983093021126322</v>
      </c>
      <c r="R99" s="298">
        <v>0.19995839901366486</v>
      </c>
      <c r="S99" s="298">
        <v>0.19995839901366486</v>
      </c>
      <c r="T99" s="298">
        <v>0.19995839901366486</v>
      </c>
      <c r="U99" s="298">
        <v>0.19995839901366486</v>
      </c>
    </row>
    <row r="100" spans="1:21" ht="14.4" x14ac:dyDescent="0.3">
      <c r="A100" s="43">
        <v>38</v>
      </c>
      <c r="B100" s="43"/>
      <c r="C100" s="1"/>
      <c r="D100" s="298">
        <v>0.15658261184107439</v>
      </c>
      <c r="E100" s="298">
        <v>6.9206297258360139E-2</v>
      </c>
      <c r="F100" s="298">
        <v>0.11719738000471913</v>
      </c>
      <c r="G100" s="298">
        <v>9.0950515996728487E-2</v>
      </c>
      <c r="H100" s="298">
        <v>5.6069430808107633E-2</v>
      </c>
      <c r="I100" s="298">
        <v>0.18457651004529252</v>
      </c>
      <c r="J100" s="298">
        <v>0.21861320828195963</v>
      </c>
      <c r="K100" s="298">
        <v>0.14805460867942424</v>
      </c>
      <c r="L100" s="298">
        <v>0.10865726471480185</v>
      </c>
      <c r="M100" s="298">
        <v>8.7921961526698345E-2</v>
      </c>
      <c r="N100" s="298">
        <v>5.8256465500538285E-2</v>
      </c>
      <c r="O100" s="298">
        <v>4.4253058727944716E-2</v>
      </c>
      <c r="P100" s="298">
        <v>3.9509788445304235E-2</v>
      </c>
      <c r="Q100" s="298">
        <v>2.9542651780987427E-2</v>
      </c>
      <c r="R100" s="298">
        <v>2.8071591122090556E-2</v>
      </c>
      <c r="S100" s="298">
        <v>2.8071591122090556E-2</v>
      </c>
      <c r="T100" s="298">
        <v>2.8071591122090556E-2</v>
      </c>
      <c r="U100" s="298">
        <v>2.8071591122090556E-2</v>
      </c>
    </row>
    <row r="101" spans="1:21" ht="14.4" x14ac:dyDescent="0.3">
      <c r="A101" s="43">
        <v>39</v>
      </c>
      <c r="B101" s="43"/>
      <c r="C101" s="1"/>
      <c r="D101" s="298">
        <v>0.2079850899943797</v>
      </c>
      <c r="E101" s="298">
        <v>0.13041647508011303</v>
      </c>
      <c r="F101" s="298">
        <v>0.12947509110634475</v>
      </c>
      <c r="G101" s="298">
        <v>0.11009404781577684</v>
      </c>
      <c r="H101" s="298">
        <v>6.014929527512837E-2</v>
      </c>
      <c r="I101" s="298">
        <v>0.21949671273146126</v>
      </c>
      <c r="J101" s="298">
        <v>0.27640701454444089</v>
      </c>
      <c r="K101" s="298">
        <v>0.17818419975534588</v>
      </c>
      <c r="L101" s="298">
        <v>0.12256174642203793</v>
      </c>
      <c r="M101" s="298">
        <v>9.8387203409769475E-2</v>
      </c>
      <c r="N101" s="298">
        <v>7.1958024598108364E-2</v>
      </c>
      <c r="O101" s="298">
        <v>5.1366620792552581E-2</v>
      </c>
      <c r="P101" s="298">
        <v>4.2850088405828553E-2</v>
      </c>
      <c r="Q101" s="298">
        <v>3.5922322150466021E-2</v>
      </c>
      <c r="R101" s="298">
        <v>3.4556391879303032E-2</v>
      </c>
      <c r="S101" s="298">
        <v>3.4556391879303032E-2</v>
      </c>
      <c r="T101" s="298">
        <v>3.4556391879303032E-2</v>
      </c>
      <c r="U101" s="298">
        <v>3.4556391879303032E-2</v>
      </c>
    </row>
    <row r="102" spans="1:21" ht="14.4" x14ac:dyDescent="0.3">
      <c r="A102" s="43">
        <v>40</v>
      </c>
      <c r="B102" s="43"/>
      <c r="C102" s="1"/>
      <c r="D102" s="298">
        <v>0.15658261184107439</v>
      </c>
      <c r="E102" s="298">
        <v>6.9206297258360139E-2</v>
      </c>
      <c r="F102" s="298">
        <v>0.11719738000471913</v>
      </c>
      <c r="G102" s="298">
        <v>9.0950515996728487E-2</v>
      </c>
      <c r="H102" s="298">
        <v>5.6069430808107633E-2</v>
      </c>
      <c r="I102" s="298">
        <v>0.18457651004529252</v>
      </c>
      <c r="J102" s="298">
        <v>0.21861320828195963</v>
      </c>
      <c r="K102" s="298">
        <v>0.14805460867942424</v>
      </c>
      <c r="L102" s="298">
        <v>0.10865726471480185</v>
      </c>
      <c r="M102" s="298">
        <v>8.7921961526698345E-2</v>
      </c>
      <c r="N102" s="298">
        <v>5.8256465500538285E-2</v>
      </c>
      <c r="O102" s="298">
        <v>4.4253058727944716E-2</v>
      </c>
      <c r="P102" s="298">
        <v>3.9509788445304235E-2</v>
      </c>
      <c r="Q102" s="298">
        <v>2.9542651780987427E-2</v>
      </c>
      <c r="R102" s="298">
        <v>2.8071591122090556E-2</v>
      </c>
      <c r="S102" s="298">
        <v>2.8071591122090556E-2</v>
      </c>
      <c r="T102" s="298">
        <v>2.8071591122090556E-2</v>
      </c>
      <c r="U102" s="298">
        <v>2.8071591122090556E-2</v>
      </c>
    </row>
    <row r="103" spans="1:21" ht="14.4" x14ac:dyDescent="0.3">
      <c r="A103" s="43">
        <v>41</v>
      </c>
      <c r="B103" s="43"/>
      <c r="C103" s="1"/>
      <c r="D103" s="298">
        <v>2.9593523720748518</v>
      </c>
      <c r="E103" s="298">
        <v>1.3960448536050045</v>
      </c>
      <c r="F103" s="298">
        <v>0.9788469484846104</v>
      </c>
      <c r="G103" s="298">
        <v>0.76626902234982497</v>
      </c>
      <c r="H103" s="298">
        <v>0.64986432358583057</v>
      </c>
      <c r="I103" s="298">
        <v>0.49479101470748305</v>
      </c>
      <c r="J103" s="298">
        <v>0.39951328972932304</v>
      </c>
      <c r="K103" s="298">
        <v>0.41594580564321404</v>
      </c>
      <c r="L103" s="298">
        <v>0.37579029347140652</v>
      </c>
      <c r="M103" s="298">
        <v>0.32440122806902955</v>
      </c>
      <c r="N103" s="298">
        <v>0.30529874652047795</v>
      </c>
      <c r="O103" s="298">
        <v>0.272856325769609</v>
      </c>
      <c r="P103" s="298">
        <v>0.23528249165808171</v>
      </c>
      <c r="Q103" s="298">
        <v>0.21930268062364178</v>
      </c>
      <c r="R103" s="298">
        <v>0.21942223358685053</v>
      </c>
      <c r="S103" s="298">
        <v>0.21942223358685053</v>
      </c>
      <c r="T103" s="298">
        <v>0.21942223358685053</v>
      </c>
      <c r="U103" s="298">
        <v>0.21942223358685053</v>
      </c>
    </row>
    <row r="104" spans="1:21" ht="14.4" x14ac:dyDescent="0.3">
      <c r="A104" s="43">
        <v>42</v>
      </c>
      <c r="B104" s="43"/>
      <c r="C104" s="1"/>
      <c r="D104" s="298">
        <v>0.15658261184107439</v>
      </c>
      <c r="E104" s="298">
        <v>6.9206297258360139E-2</v>
      </c>
      <c r="F104" s="298">
        <v>0.11719738000471913</v>
      </c>
      <c r="G104" s="298">
        <v>9.0950515996728487E-2</v>
      </c>
      <c r="H104" s="298">
        <v>5.6069430808107633E-2</v>
      </c>
      <c r="I104" s="298">
        <v>0.18457651004529252</v>
      </c>
      <c r="J104" s="298">
        <v>0.21861320828195963</v>
      </c>
      <c r="K104" s="298">
        <v>0.14805460867942424</v>
      </c>
      <c r="L104" s="298">
        <v>0.10865726471480185</v>
      </c>
      <c r="M104" s="298">
        <v>8.7921961526698345E-2</v>
      </c>
      <c r="N104" s="298">
        <v>5.8256465500538285E-2</v>
      </c>
      <c r="O104" s="298">
        <v>4.4253058727944716E-2</v>
      </c>
      <c r="P104" s="298">
        <v>3.9509788445304235E-2</v>
      </c>
      <c r="Q104" s="298">
        <v>2.9542651780987427E-2</v>
      </c>
      <c r="R104" s="298">
        <v>2.8071591122090556E-2</v>
      </c>
      <c r="S104" s="298">
        <v>2.8071591122090556E-2</v>
      </c>
      <c r="T104" s="298">
        <v>2.8071591122090556E-2</v>
      </c>
      <c r="U104" s="298">
        <v>2.8071591122090556E-2</v>
      </c>
    </row>
    <row r="105" spans="1:21" ht="14.4" x14ac:dyDescent="0.3">
      <c r="A105" s="43">
        <v>43</v>
      </c>
      <c r="B105" s="43"/>
      <c r="C105" s="1"/>
      <c r="D105" s="298">
        <v>2.2178560512821952</v>
      </c>
      <c r="E105" s="298">
        <v>1.1905972320783262</v>
      </c>
      <c r="F105" s="298">
        <v>0.75615175660327605</v>
      </c>
      <c r="G105" s="298">
        <v>0.45362551647456517</v>
      </c>
      <c r="H105" s="298">
        <v>0.28528173727691464</v>
      </c>
      <c r="I105" s="298">
        <v>0.21779752656057286</v>
      </c>
      <c r="J105" s="298">
        <v>0.25538951981730396</v>
      </c>
      <c r="K105" s="298">
        <v>0.24818871965708805</v>
      </c>
      <c r="L105" s="298">
        <v>0.22308863199724832</v>
      </c>
      <c r="M105" s="298">
        <v>0.19779080449305989</v>
      </c>
      <c r="N105" s="298">
        <v>0.1877023014843526</v>
      </c>
      <c r="O105" s="298">
        <v>0.18024721970812474</v>
      </c>
      <c r="P105" s="298">
        <v>0.14969356494618877</v>
      </c>
      <c r="Q105" s="298">
        <v>0.15402172112964774</v>
      </c>
      <c r="R105" s="298">
        <v>0.14788153997371078</v>
      </c>
      <c r="S105" s="298">
        <v>0.14788153997371078</v>
      </c>
      <c r="T105" s="298">
        <v>0.14788153997371078</v>
      </c>
      <c r="U105" s="298">
        <v>0.14788153997371078</v>
      </c>
    </row>
    <row r="106" spans="1:21" ht="14.4" x14ac:dyDescent="0.3">
      <c r="A106" s="43">
        <v>44</v>
      </c>
      <c r="B106" s="43"/>
      <c r="C106" s="1"/>
      <c r="D106" s="298">
        <v>0.15658261184107439</v>
      </c>
      <c r="E106" s="298">
        <v>6.9206297258360139E-2</v>
      </c>
      <c r="F106" s="298">
        <v>0.11719738000471913</v>
      </c>
      <c r="G106" s="298">
        <v>9.0950515996728487E-2</v>
      </c>
      <c r="H106" s="298">
        <v>5.6069430808107633E-2</v>
      </c>
      <c r="I106" s="298">
        <v>0.18457651004529252</v>
      </c>
      <c r="J106" s="298">
        <v>0.21861320828195963</v>
      </c>
      <c r="K106" s="298">
        <v>0.14805460867942424</v>
      </c>
      <c r="L106" s="298">
        <v>0.10865726471480185</v>
      </c>
      <c r="M106" s="298">
        <v>8.7921961526698345E-2</v>
      </c>
      <c r="N106" s="298">
        <v>5.8256465500538285E-2</v>
      </c>
      <c r="O106" s="298">
        <v>4.4253058727944716E-2</v>
      </c>
      <c r="P106" s="298">
        <v>3.9509788445304235E-2</v>
      </c>
      <c r="Q106" s="298">
        <v>2.9542651780987427E-2</v>
      </c>
      <c r="R106" s="298">
        <v>2.8071591122090556E-2</v>
      </c>
      <c r="S106" s="298">
        <v>2.8071591122090556E-2</v>
      </c>
      <c r="T106" s="298">
        <v>2.8071591122090556E-2</v>
      </c>
      <c r="U106" s="298">
        <v>2.8071591122090556E-2</v>
      </c>
    </row>
    <row r="107" spans="1:21" ht="14.4" x14ac:dyDescent="0.3">
      <c r="A107" s="43">
        <v>45</v>
      </c>
      <c r="B107" s="43"/>
      <c r="C107" s="1"/>
      <c r="D107" s="298">
        <v>0.15674381381219379</v>
      </c>
      <c r="E107" s="298">
        <v>6.9135515452953725E-2</v>
      </c>
      <c r="F107" s="298">
        <v>0.11721931861181524</v>
      </c>
      <c r="G107" s="298">
        <v>9.0976276916425139E-2</v>
      </c>
      <c r="H107" s="298">
        <v>5.5974795488511517E-2</v>
      </c>
      <c r="I107" s="298">
        <v>0.18455139999068912</v>
      </c>
      <c r="J107" s="298">
        <v>0.21866515563030009</v>
      </c>
      <c r="K107" s="298">
        <v>0.14808361462956454</v>
      </c>
      <c r="L107" s="298">
        <v>0.10867252849450271</v>
      </c>
      <c r="M107" s="298">
        <v>8.7932880027034033E-2</v>
      </c>
      <c r="N107" s="298">
        <v>5.8261619608528936E-2</v>
      </c>
      <c r="O107" s="298">
        <v>4.4254803859095013E-2</v>
      </c>
      <c r="P107" s="298">
        <v>3.9511622355493263E-2</v>
      </c>
      <c r="Q107" s="298">
        <v>2.9543012509050892E-2</v>
      </c>
      <c r="R107" s="298">
        <v>2.8071590865564936E-2</v>
      </c>
      <c r="S107" s="298">
        <v>2.8071590865564936E-2</v>
      </c>
      <c r="T107" s="298">
        <v>2.8071590865564936E-2</v>
      </c>
      <c r="U107" s="298">
        <v>2.8071590865564936E-2</v>
      </c>
    </row>
    <row r="108" spans="1:21" ht="14.4" x14ac:dyDescent="0.3">
      <c r="A108" s="43">
        <v>46</v>
      </c>
      <c r="B108" s="43"/>
      <c r="C108" s="1"/>
      <c r="D108" s="298">
        <v>0.15658261184107439</v>
      </c>
      <c r="E108" s="298">
        <v>6.9206297258360139E-2</v>
      </c>
      <c r="F108" s="298">
        <v>0.11719738000471913</v>
      </c>
      <c r="G108" s="298">
        <v>9.0950515996728487E-2</v>
      </c>
      <c r="H108" s="298">
        <v>5.6069430808107633E-2</v>
      </c>
      <c r="I108" s="298">
        <v>0.18457651004529252</v>
      </c>
      <c r="J108" s="298">
        <v>0.21861320828195963</v>
      </c>
      <c r="K108" s="298">
        <v>0.14805460867942424</v>
      </c>
      <c r="L108" s="298">
        <v>0.10865726471480185</v>
      </c>
      <c r="M108" s="298">
        <v>8.7921961526698345E-2</v>
      </c>
      <c r="N108" s="298">
        <v>5.8256465500538285E-2</v>
      </c>
      <c r="O108" s="298">
        <v>4.4253058727944716E-2</v>
      </c>
      <c r="P108" s="298">
        <v>3.9509788445304235E-2</v>
      </c>
      <c r="Q108" s="298">
        <v>2.9542651780987427E-2</v>
      </c>
      <c r="R108" s="298">
        <v>2.8071591122090556E-2</v>
      </c>
      <c r="S108" s="298">
        <v>2.8071591122090556E-2</v>
      </c>
      <c r="T108" s="298">
        <v>2.8071591122090556E-2</v>
      </c>
      <c r="U108" s="298">
        <v>2.8071591122090556E-2</v>
      </c>
    </row>
    <row r="109" spans="1:21" ht="14.4" x14ac:dyDescent="0.3">
      <c r="A109" s="43">
        <v>47</v>
      </c>
      <c r="B109" s="43"/>
      <c r="C109" s="1"/>
      <c r="D109" s="298">
        <v>2.3268630691236321</v>
      </c>
      <c r="E109" s="298">
        <v>0.78641478977548207</v>
      </c>
      <c r="F109" s="298">
        <v>0.65683719239534155</v>
      </c>
      <c r="G109" s="298">
        <v>0.58143321676267457</v>
      </c>
      <c r="H109" s="298">
        <v>0.44928960665019158</v>
      </c>
      <c r="I109" s="298">
        <v>0.41294151992551731</v>
      </c>
      <c r="J109" s="298">
        <v>0.2940568330031525</v>
      </c>
      <c r="K109" s="298">
        <v>0.2786885915405366</v>
      </c>
      <c r="L109" s="298">
        <v>0.26697263616116279</v>
      </c>
      <c r="M109" s="298">
        <v>0.26064585390490097</v>
      </c>
      <c r="N109" s="298">
        <v>0.2367936036530196</v>
      </c>
      <c r="O109" s="298">
        <v>0.19038468562778788</v>
      </c>
      <c r="P109" s="298">
        <v>0.18456070692514012</v>
      </c>
      <c r="Q109" s="298">
        <v>0.16108516476637483</v>
      </c>
      <c r="R109" s="298">
        <v>0.15522073313539117</v>
      </c>
      <c r="S109" s="298">
        <v>0.15522073313539117</v>
      </c>
      <c r="T109" s="298">
        <v>0.15522073313539117</v>
      </c>
      <c r="U109" s="298">
        <v>0.15522073313539117</v>
      </c>
    </row>
    <row r="110" spans="1:21" ht="14.4" x14ac:dyDescent="0.3">
      <c r="A110" s="43">
        <v>48</v>
      </c>
      <c r="B110" s="43"/>
      <c r="C110" s="1"/>
      <c r="D110" s="298">
        <v>0.15658261184107439</v>
      </c>
      <c r="E110" s="298">
        <v>6.9206297258360139E-2</v>
      </c>
      <c r="F110" s="298">
        <v>0.11719738000471913</v>
      </c>
      <c r="G110" s="298">
        <v>9.0950515996728487E-2</v>
      </c>
      <c r="H110" s="298">
        <v>5.6069430808107633E-2</v>
      </c>
      <c r="I110" s="298">
        <v>0.18457651004529252</v>
      </c>
      <c r="J110" s="298">
        <v>0.21861320828195963</v>
      </c>
      <c r="K110" s="298">
        <v>0.14805460867942424</v>
      </c>
      <c r="L110" s="298">
        <v>0.10865726471480185</v>
      </c>
      <c r="M110" s="298">
        <v>8.7921961526698345E-2</v>
      </c>
      <c r="N110" s="298">
        <v>5.8256465500538285E-2</v>
      </c>
      <c r="O110" s="298">
        <v>4.4253058727944716E-2</v>
      </c>
      <c r="P110" s="298">
        <v>3.9509788445304235E-2</v>
      </c>
      <c r="Q110" s="298">
        <v>2.9542651780987427E-2</v>
      </c>
      <c r="R110" s="298">
        <v>2.8071591122090556E-2</v>
      </c>
      <c r="S110" s="298">
        <v>2.8071591122090556E-2</v>
      </c>
      <c r="T110" s="298">
        <v>2.8071591122090556E-2</v>
      </c>
      <c r="U110" s="298">
        <v>2.8071591122090556E-2</v>
      </c>
    </row>
    <row r="111" spans="1:21" ht="14.4" x14ac:dyDescent="0.3">
      <c r="A111" s="43">
        <v>49</v>
      </c>
      <c r="B111" s="43"/>
      <c r="C111" s="1"/>
      <c r="D111" s="298">
        <v>2.222090686942058</v>
      </c>
      <c r="E111" s="298">
        <v>0.8231320290067401</v>
      </c>
      <c r="F111" s="298">
        <v>0.54372728367538525</v>
      </c>
      <c r="G111" s="298">
        <v>0.33388586731319231</v>
      </c>
      <c r="H111" s="298">
        <v>0.20472977887589594</v>
      </c>
      <c r="I111" s="298">
        <v>0.16067909526322774</v>
      </c>
      <c r="J111" s="298">
        <v>0.19635848943192444</v>
      </c>
      <c r="K111" s="298">
        <v>0.18022284651166184</v>
      </c>
      <c r="L111" s="298">
        <v>0.15241194609444156</v>
      </c>
      <c r="M111" s="298">
        <v>0.14568078669873447</v>
      </c>
      <c r="N111" s="298">
        <v>0.14316623416465049</v>
      </c>
      <c r="O111" s="298">
        <v>0.11820986355275069</v>
      </c>
      <c r="P111" s="298">
        <v>0.11324661442841535</v>
      </c>
      <c r="Q111" s="298">
        <v>0.10591950094820782</v>
      </c>
      <c r="R111" s="298">
        <v>0.10181373046970461</v>
      </c>
      <c r="S111" s="298">
        <v>0.10181373046970461</v>
      </c>
      <c r="T111" s="298">
        <v>0.10181373046970461</v>
      </c>
      <c r="U111" s="298">
        <v>0.10181373046970461</v>
      </c>
    </row>
    <row r="112" spans="1:21" ht="14.4" x14ac:dyDescent="0.3">
      <c r="A112" s="43">
        <v>50</v>
      </c>
      <c r="B112" s="43"/>
      <c r="C112" s="1"/>
      <c r="D112" s="298">
        <v>0.15658261184107439</v>
      </c>
      <c r="E112" s="298">
        <v>6.9206297258360139E-2</v>
      </c>
      <c r="F112" s="298">
        <v>0.11719738000471913</v>
      </c>
      <c r="G112" s="298">
        <v>9.0950515996728487E-2</v>
      </c>
      <c r="H112" s="298">
        <v>5.6069430808107633E-2</v>
      </c>
      <c r="I112" s="298">
        <v>0.18457651004529252</v>
      </c>
      <c r="J112" s="298">
        <v>0.21861320828195963</v>
      </c>
      <c r="K112" s="298">
        <v>0.14805460867942424</v>
      </c>
      <c r="L112" s="298">
        <v>0.10865726471480185</v>
      </c>
      <c r="M112" s="298">
        <v>8.7921961526698345E-2</v>
      </c>
      <c r="N112" s="298">
        <v>5.8256465500538285E-2</v>
      </c>
      <c r="O112" s="298">
        <v>4.4253058727944716E-2</v>
      </c>
      <c r="P112" s="298">
        <v>3.9509788445304235E-2</v>
      </c>
      <c r="Q112" s="298">
        <v>2.9542651780987427E-2</v>
      </c>
      <c r="R112" s="298">
        <v>2.8071591122090556E-2</v>
      </c>
      <c r="S112" s="298">
        <v>2.8071591122090556E-2</v>
      </c>
      <c r="T112" s="298">
        <v>2.8071591122090556E-2</v>
      </c>
      <c r="U112" s="298">
        <v>2.8071591122090556E-2</v>
      </c>
    </row>
    <row r="113" spans="2:21" x14ac:dyDescent="0.25">
      <c r="D113" s="51"/>
      <c r="E113" s="32"/>
      <c r="F113" s="32"/>
      <c r="G113" s="32"/>
      <c r="H113" s="32"/>
      <c r="I113" s="32"/>
      <c r="J113" s="32"/>
      <c r="K113" s="32"/>
    </row>
    <row r="114" spans="2:21" x14ac:dyDescent="0.25">
      <c r="B114" s="26" t="s">
        <v>5</v>
      </c>
      <c r="D114" s="32">
        <f t="shared" ref="D114:U114" si="7">SQRT(SUMSQ(D64:D112))</f>
        <v>163.93774717643851</v>
      </c>
      <c r="E114" s="32">
        <f t="shared" si="7"/>
        <v>113.48802501155089</v>
      </c>
      <c r="F114" s="32">
        <f t="shared" si="7"/>
        <v>92.201479834948017</v>
      </c>
      <c r="G114" s="32">
        <f t="shared" si="7"/>
        <v>70.914070764570482</v>
      </c>
      <c r="H114" s="32">
        <f t="shared" si="7"/>
        <v>54.750054571794223</v>
      </c>
      <c r="I114" s="32">
        <f t="shared" si="7"/>
        <v>45.409107972180678</v>
      </c>
      <c r="J114" s="32">
        <f t="shared" si="7"/>
        <v>40.452846599409661</v>
      </c>
      <c r="K114" s="32">
        <f t="shared" si="7"/>
        <v>36.567604373048553</v>
      </c>
      <c r="L114" s="32">
        <f t="shared" si="7"/>
        <v>33.722497172696237</v>
      </c>
      <c r="M114" s="32">
        <f t="shared" si="7"/>
        <v>31.537820676686238</v>
      </c>
      <c r="N114" s="32">
        <f t="shared" si="7"/>
        <v>28.353599859458789</v>
      </c>
      <c r="O114" s="32">
        <f t="shared" si="7"/>
        <v>26.003967172553079</v>
      </c>
      <c r="P114" s="32">
        <f t="shared" si="7"/>
        <v>24.160245237926446</v>
      </c>
      <c r="Q114" s="32">
        <f t="shared" si="7"/>
        <v>21.249690073067327</v>
      </c>
      <c r="R114" s="32">
        <f t="shared" si="7"/>
        <v>21.247242746791578</v>
      </c>
      <c r="S114" s="32">
        <f t="shared" si="7"/>
        <v>21.247242746791578</v>
      </c>
      <c r="T114" s="32">
        <f t="shared" si="7"/>
        <v>21.247242746791578</v>
      </c>
      <c r="U114" s="32">
        <f t="shared" si="7"/>
        <v>21.247242746791578</v>
      </c>
    </row>
    <row r="116" spans="2:21" x14ac:dyDescent="0.25">
      <c r="D116" s="32"/>
      <c r="E116" s="32"/>
      <c r="F116" s="32"/>
      <c r="G116" s="32"/>
      <c r="H116" s="32"/>
      <c r="I116" s="32"/>
    </row>
    <row r="118" spans="2:21" x14ac:dyDescent="0.25">
      <c r="D118" s="32"/>
      <c r="E118" s="32"/>
      <c r="F118" s="32"/>
      <c r="G118" s="32"/>
      <c r="H118" s="32"/>
      <c r="I118" s="32"/>
    </row>
  </sheetData>
  <pageMargins left="0.75" right="0.75" top="1" bottom="1" header="0.5" footer="0.5"/>
  <pageSetup scale="50" fitToHeight="2" orientation="portrait" r:id="rId1"/>
  <headerFooter alignWithMargins="0">
    <oddHeader>&amp;R&amp;D
&amp;T
rh</oddHeader>
    <oddFooter>&amp;L&amp;F
&amp;A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U118"/>
  <sheetViews>
    <sheetView workbookViewId="0"/>
  </sheetViews>
  <sheetFormatPr defaultRowHeight="13.2" x14ac:dyDescent="0.25"/>
  <cols>
    <col min="1" max="6" width="9.109375" style="26"/>
    <col min="7" max="7" width="9.109375" style="26" customWidth="1"/>
    <col min="8" max="8" width="10.6640625" style="26" customWidth="1"/>
    <col min="9" max="262" width="9.109375" style="26"/>
    <col min="263" max="263" width="9.5546875" style="26" bestFit="1" customWidth="1"/>
    <col min="264" max="264" width="10.6640625" style="26" customWidth="1"/>
    <col min="265" max="518" width="9.109375" style="26"/>
    <col min="519" max="519" width="9.5546875" style="26" bestFit="1" customWidth="1"/>
    <col min="520" max="520" width="10.6640625" style="26" customWidth="1"/>
    <col min="521" max="774" width="9.109375" style="26"/>
    <col min="775" max="775" width="9.5546875" style="26" bestFit="1" customWidth="1"/>
    <col min="776" max="776" width="10.6640625" style="26" customWidth="1"/>
    <col min="777" max="1030" width="9.109375" style="26"/>
    <col min="1031" max="1031" width="9.5546875" style="26" bestFit="1" customWidth="1"/>
    <col min="1032" max="1032" width="10.6640625" style="26" customWidth="1"/>
    <col min="1033" max="1286" width="9.109375" style="26"/>
    <col min="1287" max="1287" width="9.5546875" style="26" bestFit="1" customWidth="1"/>
    <col min="1288" max="1288" width="10.6640625" style="26" customWidth="1"/>
    <col min="1289" max="1542" width="9.109375" style="26"/>
    <col min="1543" max="1543" width="9.5546875" style="26" bestFit="1" customWidth="1"/>
    <col min="1544" max="1544" width="10.6640625" style="26" customWidth="1"/>
    <col min="1545" max="1798" width="9.109375" style="26"/>
    <col min="1799" max="1799" width="9.5546875" style="26" bestFit="1" customWidth="1"/>
    <col min="1800" max="1800" width="10.6640625" style="26" customWidth="1"/>
    <col min="1801" max="2054" width="9.109375" style="26"/>
    <col min="2055" max="2055" width="9.5546875" style="26" bestFit="1" customWidth="1"/>
    <col min="2056" max="2056" width="10.6640625" style="26" customWidth="1"/>
    <col min="2057" max="2310" width="9.109375" style="26"/>
    <col min="2311" max="2311" width="9.5546875" style="26" bestFit="1" customWidth="1"/>
    <col min="2312" max="2312" width="10.6640625" style="26" customWidth="1"/>
    <col min="2313" max="2566" width="9.109375" style="26"/>
    <col min="2567" max="2567" width="9.5546875" style="26" bestFit="1" customWidth="1"/>
    <col min="2568" max="2568" width="10.6640625" style="26" customWidth="1"/>
    <col min="2569" max="2822" width="9.109375" style="26"/>
    <col min="2823" max="2823" width="9.5546875" style="26" bestFit="1" customWidth="1"/>
    <col min="2824" max="2824" width="10.6640625" style="26" customWidth="1"/>
    <col min="2825" max="3078" width="9.109375" style="26"/>
    <col min="3079" max="3079" width="9.5546875" style="26" bestFit="1" customWidth="1"/>
    <col min="3080" max="3080" width="10.6640625" style="26" customWidth="1"/>
    <col min="3081" max="3334" width="9.109375" style="26"/>
    <col min="3335" max="3335" width="9.5546875" style="26" bestFit="1" customWidth="1"/>
    <col min="3336" max="3336" width="10.6640625" style="26" customWidth="1"/>
    <col min="3337" max="3590" width="9.109375" style="26"/>
    <col min="3591" max="3591" width="9.5546875" style="26" bestFit="1" customWidth="1"/>
    <col min="3592" max="3592" width="10.6640625" style="26" customWidth="1"/>
    <col min="3593" max="3846" width="9.109375" style="26"/>
    <col min="3847" max="3847" width="9.5546875" style="26" bestFit="1" customWidth="1"/>
    <col min="3848" max="3848" width="10.6640625" style="26" customWidth="1"/>
    <col min="3849" max="4102" width="9.109375" style="26"/>
    <col min="4103" max="4103" width="9.5546875" style="26" bestFit="1" customWidth="1"/>
    <col min="4104" max="4104" width="10.6640625" style="26" customWidth="1"/>
    <col min="4105" max="4358" width="9.109375" style="26"/>
    <col min="4359" max="4359" width="9.5546875" style="26" bestFit="1" customWidth="1"/>
    <col min="4360" max="4360" width="10.6640625" style="26" customWidth="1"/>
    <col min="4361" max="4614" width="9.109375" style="26"/>
    <col min="4615" max="4615" width="9.5546875" style="26" bestFit="1" customWidth="1"/>
    <col min="4616" max="4616" width="10.6640625" style="26" customWidth="1"/>
    <col min="4617" max="4870" width="9.109375" style="26"/>
    <col min="4871" max="4871" width="9.5546875" style="26" bestFit="1" customWidth="1"/>
    <col min="4872" max="4872" width="10.6640625" style="26" customWidth="1"/>
    <col min="4873" max="5126" width="9.109375" style="26"/>
    <col min="5127" max="5127" width="9.5546875" style="26" bestFit="1" customWidth="1"/>
    <col min="5128" max="5128" width="10.6640625" style="26" customWidth="1"/>
    <col min="5129" max="5382" width="9.109375" style="26"/>
    <col min="5383" max="5383" width="9.5546875" style="26" bestFit="1" customWidth="1"/>
    <col min="5384" max="5384" width="10.6640625" style="26" customWidth="1"/>
    <col min="5385" max="5638" width="9.109375" style="26"/>
    <col min="5639" max="5639" width="9.5546875" style="26" bestFit="1" customWidth="1"/>
    <col min="5640" max="5640" width="10.6640625" style="26" customWidth="1"/>
    <col min="5641" max="5894" width="9.109375" style="26"/>
    <col min="5895" max="5895" width="9.5546875" style="26" bestFit="1" customWidth="1"/>
    <col min="5896" max="5896" width="10.6640625" style="26" customWidth="1"/>
    <col min="5897" max="6150" width="9.109375" style="26"/>
    <col min="6151" max="6151" width="9.5546875" style="26" bestFit="1" customWidth="1"/>
    <col min="6152" max="6152" width="10.6640625" style="26" customWidth="1"/>
    <col min="6153" max="6406" width="9.109375" style="26"/>
    <col min="6407" max="6407" width="9.5546875" style="26" bestFit="1" customWidth="1"/>
    <col min="6408" max="6408" width="10.6640625" style="26" customWidth="1"/>
    <col min="6409" max="6662" width="9.109375" style="26"/>
    <col min="6663" max="6663" width="9.5546875" style="26" bestFit="1" customWidth="1"/>
    <col min="6664" max="6664" width="10.6640625" style="26" customWidth="1"/>
    <col min="6665" max="6918" width="9.109375" style="26"/>
    <col min="6919" max="6919" width="9.5546875" style="26" bestFit="1" customWidth="1"/>
    <col min="6920" max="6920" width="10.6640625" style="26" customWidth="1"/>
    <col min="6921" max="7174" width="9.109375" style="26"/>
    <col min="7175" max="7175" width="9.5546875" style="26" bestFit="1" customWidth="1"/>
    <col min="7176" max="7176" width="10.6640625" style="26" customWidth="1"/>
    <col min="7177" max="7430" width="9.109375" style="26"/>
    <col min="7431" max="7431" width="9.5546875" style="26" bestFit="1" customWidth="1"/>
    <col min="7432" max="7432" width="10.6640625" style="26" customWidth="1"/>
    <col min="7433" max="7686" width="9.109375" style="26"/>
    <col min="7687" max="7687" width="9.5546875" style="26" bestFit="1" customWidth="1"/>
    <col min="7688" max="7688" width="10.6640625" style="26" customWidth="1"/>
    <col min="7689" max="7942" width="9.109375" style="26"/>
    <col min="7943" max="7943" width="9.5546875" style="26" bestFit="1" customWidth="1"/>
    <col min="7944" max="7944" width="10.6640625" style="26" customWidth="1"/>
    <col min="7945" max="8198" width="9.109375" style="26"/>
    <col min="8199" max="8199" width="9.5546875" style="26" bestFit="1" customWidth="1"/>
    <col min="8200" max="8200" width="10.6640625" style="26" customWidth="1"/>
    <col min="8201" max="8454" width="9.109375" style="26"/>
    <col min="8455" max="8455" width="9.5546875" style="26" bestFit="1" customWidth="1"/>
    <col min="8456" max="8456" width="10.6640625" style="26" customWidth="1"/>
    <col min="8457" max="8710" width="9.109375" style="26"/>
    <col min="8711" max="8711" width="9.5546875" style="26" bestFit="1" customWidth="1"/>
    <col min="8712" max="8712" width="10.6640625" style="26" customWidth="1"/>
    <col min="8713" max="8966" width="9.109375" style="26"/>
    <col min="8967" max="8967" width="9.5546875" style="26" bestFit="1" customWidth="1"/>
    <col min="8968" max="8968" width="10.6640625" style="26" customWidth="1"/>
    <col min="8969" max="9222" width="9.109375" style="26"/>
    <col min="9223" max="9223" width="9.5546875" style="26" bestFit="1" customWidth="1"/>
    <col min="9224" max="9224" width="10.6640625" style="26" customWidth="1"/>
    <col min="9225" max="9478" width="9.109375" style="26"/>
    <col min="9479" max="9479" width="9.5546875" style="26" bestFit="1" customWidth="1"/>
    <col min="9480" max="9480" width="10.6640625" style="26" customWidth="1"/>
    <col min="9481" max="9734" width="9.109375" style="26"/>
    <col min="9735" max="9735" width="9.5546875" style="26" bestFit="1" customWidth="1"/>
    <col min="9736" max="9736" width="10.6640625" style="26" customWidth="1"/>
    <col min="9737" max="9990" width="9.109375" style="26"/>
    <col min="9991" max="9991" width="9.5546875" style="26" bestFit="1" customWidth="1"/>
    <col min="9992" max="9992" width="10.6640625" style="26" customWidth="1"/>
    <col min="9993" max="10246" width="9.109375" style="26"/>
    <col min="10247" max="10247" width="9.5546875" style="26" bestFit="1" customWidth="1"/>
    <col min="10248" max="10248" width="10.6640625" style="26" customWidth="1"/>
    <col min="10249" max="10502" width="9.109375" style="26"/>
    <col min="10503" max="10503" width="9.5546875" style="26" bestFit="1" customWidth="1"/>
    <col min="10504" max="10504" width="10.6640625" style="26" customWidth="1"/>
    <col min="10505" max="10758" width="9.109375" style="26"/>
    <col min="10759" max="10759" width="9.5546875" style="26" bestFit="1" customWidth="1"/>
    <col min="10760" max="10760" width="10.6640625" style="26" customWidth="1"/>
    <col min="10761" max="11014" width="9.109375" style="26"/>
    <col min="11015" max="11015" width="9.5546875" style="26" bestFit="1" customWidth="1"/>
    <col min="11016" max="11016" width="10.6640625" style="26" customWidth="1"/>
    <col min="11017" max="11270" width="9.109375" style="26"/>
    <col min="11271" max="11271" width="9.5546875" style="26" bestFit="1" customWidth="1"/>
    <col min="11272" max="11272" width="10.6640625" style="26" customWidth="1"/>
    <col min="11273" max="11526" width="9.109375" style="26"/>
    <col min="11527" max="11527" width="9.5546875" style="26" bestFit="1" customWidth="1"/>
    <col min="11528" max="11528" width="10.6640625" style="26" customWidth="1"/>
    <col min="11529" max="11782" width="9.109375" style="26"/>
    <col min="11783" max="11783" width="9.5546875" style="26" bestFit="1" customWidth="1"/>
    <col min="11784" max="11784" width="10.6640625" style="26" customWidth="1"/>
    <col min="11785" max="12038" width="9.109375" style="26"/>
    <col min="12039" max="12039" width="9.5546875" style="26" bestFit="1" customWidth="1"/>
    <col min="12040" max="12040" width="10.6640625" style="26" customWidth="1"/>
    <col min="12041" max="12294" width="9.109375" style="26"/>
    <col min="12295" max="12295" width="9.5546875" style="26" bestFit="1" customWidth="1"/>
    <col min="12296" max="12296" width="10.6640625" style="26" customWidth="1"/>
    <col min="12297" max="12550" width="9.109375" style="26"/>
    <col min="12551" max="12551" width="9.5546875" style="26" bestFit="1" customWidth="1"/>
    <col min="12552" max="12552" width="10.6640625" style="26" customWidth="1"/>
    <col min="12553" max="12806" width="9.109375" style="26"/>
    <col min="12807" max="12807" width="9.5546875" style="26" bestFit="1" customWidth="1"/>
    <col min="12808" max="12808" width="10.6640625" style="26" customWidth="1"/>
    <col min="12809" max="13062" width="9.109375" style="26"/>
    <col min="13063" max="13063" width="9.5546875" style="26" bestFit="1" customWidth="1"/>
    <col min="13064" max="13064" width="10.6640625" style="26" customWidth="1"/>
    <col min="13065" max="13318" width="9.109375" style="26"/>
    <col min="13319" max="13319" width="9.5546875" style="26" bestFit="1" customWidth="1"/>
    <col min="13320" max="13320" width="10.6640625" style="26" customWidth="1"/>
    <col min="13321" max="13574" width="9.109375" style="26"/>
    <col min="13575" max="13575" width="9.5546875" style="26" bestFit="1" customWidth="1"/>
    <col min="13576" max="13576" width="10.6640625" style="26" customWidth="1"/>
    <col min="13577" max="13830" width="9.109375" style="26"/>
    <col min="13831" max="13831" width="9.5546875" style="26" bestFit="1" customWidth="1"/>
    <col min="13832" max="13832" width="10.6640625" style="26" customWidth="1"/>
    <col min="13833" max="14086" width="9.109375" style="26"/>
    <col min="14087" max="14087" width="9.5546875" style="26" bestFit="1" customWidth="1"/>
    <col min="14088" max="14088" width="10.6640625" style="26" customWidth="1"/>
    <col min="14089" max="14342" width="9.109375" style="26"/>
    <col min="14343" max="14343" width="9.5546875" style="26" bestFit="1" customWidth="1"/>
    <col min="14344" max="14344" width="10.6640625" style="26" customWidth="1"/>
    <col min="14345" max="14598" width="9.109375" style="26"/>
    <col min="14599" max="14599" width="9.5546875" style="26" bestFit="1" customWidth="1"/>
    <col min="14600" max="14600" width="10.6640625" style="26" customWidth="1"/>
    <col min="14601" max="14854" width="9.109375" style="26"/>
    <col min="14855" max="14855" width="9.5546875" style="26" bestFit="1" customWidth="1"/>
    <col min="14856" max="14856" width="10.6640625" style="26" customWidth="1"/>
    <col min="14857" max="15110" width="9.109375" style="26"/>
    <col min="15111" max="15111" width="9.5546875" style="26" bestFit="1" customWidth="1"/>
    <col min="15112" max="15112" width="10.6640625" style="26" customWidth="1"/>
    <col min="15113" max="15366" width="9.109375" style="26"/>
    <col min="15367" max="15367" width="9.5546875" style="26" bestFit="1" customWidth="1"/>
    <col min="15368" max="15368" width="10.6640625" style="26" customWidth="1"/>
    <col min="15369" max="15622" width="9.109375" style="26"/>
    <col min="15623" max="15623" width="9.5546875" style="26" bestFit="1" customWidth="1"/>
    <col min="15624" max="15624" width="10.6640625" style="26" customWidth="1"/>
    <col min="15625" max="15878" width="9.109375" style="26"/>
    <col min="15879" max="15879" width="9.5546875" style="26" bestFit="1" customWidth="1"/>
    <col min="15880" max="15880" width="10.6640625" style="26" customWidth="1"/>
    <col min="15881" max="16134" width="9.109375" style="26"/>
    <col min="16135" max="16135" width="9.5546875" style="26" bestFit="1" customWidth="1"/>
    <col min="16136" max="16136" width="10.6640625" style="26" customWidth="1"/>
    <col min="16137" max="16384" width="9.109375" style="26"/>
  </cols>
  <sheetData>
    <row r="1" spans="1:15" ht="13.8" thickBot="1" x14ac:dyDescent="0.3">
      <c r="A1" s="84" t="s">
        <v>288</v>
      </c>
      <c r="B1" s="275" t="s">
        <v>402</v>
      </c>
      <c r="C1" s="33">
        <f>Drives!BA31</f>
        <v>38490.017945975058</v>
      </c>
      <c r="D1" s="28" t="s">
        <v>7</v>
      </c>
      <c r="E1" s="300">
        <v>6.5</v>
      </c>
      <c r="F1" s="301">
        <f>MAX(0.1,E1+100/C1)</f>
        <v>6.5025980762113536</v>
      </c>
      <c r="G1" s="36" t="s">
        <v>1</v>
      </c>
      <c r="H1" s="29">
        <f>IF(J1=0,0,H4/J1)</f>
        <v>0</v>
      </c>
      <c r="I1" s="54" t="s">
        <v>94</v>
      </c>
      <c r="J1" s="34">
        <f>Drives!Z31</f>
        <v>0</v>
      </c>
      <c r="K1" s="26" t="s">
        <v>84</v>
      </c>
      <c r="N1" s="254">
        <v>0.96499999999999997</v>
      </c>
      <c r="O1" s="26" t="s">
        <v>176</v>
      </c>
    </row>
    <row r="2" spans="1:15" x14ac:dyDescent="0.25">
      <c r="A2" s="269" t="s">
        <v>88</v>
      </c>
      <c r="B2" s="276">
        <v>31</v>
      </c>
      <c r="D2" s="26">
        <f>C4+1</f>
        <v>8</v>
      </c>
      <c r="E2" s="41">
        <f>F1-C3</f>
        <v>0.50259807621135355</v>
      </c>
      <c r="F2" s="36"/>
      <c r="G2" s="36"/>
      <c r="J2" s="29">
        <f>IF(J1&gt;=0.6, 0.7+(J1-0.6)*0.75, IF(J1&gt;=0.2, 0.3+(J1-0.2)*1, J1*1.5))</f>
        <v>0</v>
      </c>
      <c r="K2" s="26" t="s">
        <v>60</v>
      </c>
    </row>
    <row r="3" spans="1:15" ht="13.8" thickBot="1" x14ac:dyDescent="0.3">
      <c r="A3" s="270" t="s">
        <v>91</v>
      </c>
      <c r="C3" s="41">
        <f>HLOOKUP($F$1,$D$62:$U$113,(B3+1))</f>
        <v>6</v>
      </c>
      <c r="D3" s="41">
        <f>HLOOKUP($D$2,$D$61:$U$113,(B3+2))</f>
        <v>7</v>
      </c>
      <c r="E3" s="26">
        <f>D3-C3</f>
        <v>1</v>
      </c>
      <c r="F3" s="26">
        <f>IF(E3=0,1,E2/E3)</f>
        <v>0.50259807621135355</v>
      </c>
      <c r="G3" s="32">
        <f>C3+(E3*F3)</f>
        <v>6.5025980762113536</v>
      </c>
      <c r="J3" s="31"/>
    </row>
    <row r="4" spans="1:15" ht="13.8" thickBot="1" x14ac:dyDescent="0.3">
      <c r="A4" s="31" t="s">
        <v>90</v>
      </c>
      <c r="B4" s="26">
        <v>1</v>
      </c>
      <c r="C4" s="302">
        <f t="shared" ref="C4:C53" si="0">HLOOKUP($F$1,$D$62:$U$113,(B4+1))</f>
        <v>7</v>
      </c>
      <c r="D4" s="302">
        <f t="shared" ref="D4:D53" si="1">HLOOKUP($D$2,$D$61:$U$113,(B4+2))</f>
        <v>8</v>
      </c>
      <c r="G4" s="27">
        <v>100</v>
      </c>
      <c r="H4" s="34">
        <f>Drives!AR31</f>
        <v>0</v>
      </c>
      <c r="I4" s="26" t="s">
        <v>53</v>
      </c>
    </row>
    <row r="5" spans="1:15" x14ac:dyDescent="0.25">
      <c r="A5" s="31"/>
      <c r="B5" s="26">
        <v>2</v>
      </c>
      <c r="C5" s="52">
        <f t="shared" si="0"/>
        <v>1.5488830696511377E-2</v>
      </c>
      <c r="D5" s="52">
        <f t="shared" si="1"/>
        <v>1.1120918013740941E-2</v>
      </c>
      <c r="E5" s="48">
        <f t="shared" ref="E5:E53" si="2">D5-C5</f>
        <v>-4.3679126827704355E-3</v>
      </c>
      <c r="F5" s="48">
        <f t="shared" ref="F5:F53" si="3">E5*$F$3</f>
        <v>-2.1953045114195932E-3</v>
      </c>
      <c r="G5" s="48">
        <f t="shared" ref="G5:G53" si="4">C5+F5</f>
        <v>1.3293526185091784E-2</v>
      </c>
      <c r="H5" s="30">
        <f>J$2*G5*$H$1/100</f>
        <v>0</v>
      </c>
    </row>
    <row r="6" spans="1:15" x14ac:dyDescent="0.25">
      <c r="A6" s="270" t="s">
        <v>403</v>
      </c>
      <c r="B6" s="26">
        <v>3</v>
      </c>
      <c r="C6" s="52">
        <f t="shared" si="0"/>
        <v>5.1365577880102951</v>
      </c>
      <c r="D6" s="52">
        <f t="shared" si="1"/>
        <v>3.7115343236794409</v>
      </c>
      <c r="E6" s="48">
        <f t="shared" si="2"/>
        <v>-1.4250234643308541</v>
      </c>
      <c r="F6" s="48">
        <f t="shared" si="3"/>
        <v>-0.71621405172872565</v>
      </c>
      <c r="G6" s="48">
        <f t="shared" si="4"/>
        <v>4.4203437362815698</v>
      </c>
      <c r="H6" s="30">
        <f t="shared" ref="H6:H53" si="5">J$2*G6*$H$1/100</f>
        <v>0</v>
      </c>
    </row>
    <row r="7" spans="1:15" x14ac:dyDescent="0.25">
      <c r="A7" s="270" t="s">
        <v>92</v>
      </c>
      <c r="B7" s="26">
        <v>4</v>
      </c>
      <c r="C7" s="52">
        <f t="shared" si="0"/>
        <v>2.4591818946340816E-2</v>
      </c>
      <c r="D7" s="52">
        <f t="shared" si="1"/>
        <v>2.2309871990685983E-2</v>
      </c>
      <c r="E7" s="48">
        <f t="shared" si="2"/>
        <v>-2.281946955654833E-3</v>
      </c>
      <c r="F7" s="48">
        <f t="shared" si="3"/>
        <v>-1.1469021499284739E-3</v>
      </c>
      <c r="G7" s="48">
        <f t="shared" si="4"/>
        <v>2.3444916796412342E-2</v>
      </c>
      <c r="H7" s="30">
        <f t="shared" si="5"/>
        <v>0</v>
      </c>
    </row>
    <row r="8" spans="1:15" x14ac:dyDescent="0.25">
      <c r="A8" s="50"/>
      <c r="B8" s="26">
        <v>5</v>
      </c>
      <c r="C8" s="52">
        <f t="shared" si="0"/>
        <v>34.240442443062605</v>
      </c>
      <c r="D8" s="52">
        <f t="shared" si="1"/>
        <v>31.801834469310585</v>
      </c>
      <c r="E8" s="48">
        <f t="shared" si="2"/>
        <v>-2.4386079737520205</v>
      </c>
      <c r="F8" s="48">
        <f t="shared" si="3"/>
        <v>-1.2256396762414326</v>
      </c>
      <c r="G8" s="48">
        <f t="shared" si="4"/>
        <v>33.01480276682117</v>
      </c>
      <c r="H8" s="30">
        <f t="shared" si="5"/>
        <v>0</v>
      </c>
    </row>
    <row r="9" spans="1:15" x14ac:dyDescent="0.25">
      <c r="A9" s="50"/>
      <c r="B9" s="26">
        <v>6</v>
      </c>
      <c r="C9" s="52">
        <f t="shared" si="0"/>
        <v>4.5194792975590103E-3</v>
      </c>
      <c r="D9" s="52">
        <f t="shared" si="1"/>
        <v>6.0169639857389576E-3</v>
      </c>
      <c r="E9" s="48">
        <f t="shared" si="2"/>
        <v>1.4974846881799474E-3</v>
      </c>
      <c r="F9" s="48">
        <f t="shared" si="3"/>
        <v>7.526329234352002E-4</v>
      </c>
      <c r="G9" s="48">
        <f t="shared" si="4"/>
        <v>5.2721122209942106E-3</v>
      </c>
      <c r="H9" s="30">
        <f t="shared" si="5"/>
        <v>0</v>
      </c>
    </row>
    <row r="10" spans="1:15" x14ac:dyDescent="0.25">
      <c r="B10" s="26">
        <v>7</v>
      </c>
      <c r="C10" s="52">
        <f t="shared" si="0"/>
        <v>8.4234250472584673</v>
      </c>
      <c r="D10" s="52">
        <f t="shared" si="1"/>
        <v>7.3447486655802345</v>
      </c>
      <c r="E10" s="48">
        <f t="shared" si="2"/>
        <v>-1.0786763816782328</v>
      </c>
      <c r="F10" s="48">
        <f t="shared" si="3"/>
        <v>-0.54214067428610357</v>
      </c>
      <c r="G10" s="48">
        <f t="shared" si="4"/>
        <v>7.8812843729723641</v>
      </c>
      <c r="H10" s="30">
        <f t="shared" si="5"/>
        <v>0</v>
      </c>
    </row>
    <row r="11" spans="1:15" x14ac:dyDescent="0.25">
      <c r="B11" s="26">
        <v>8</v>
      </c>
      <c r="C11" s="52">
        <f t="shared" si="0"/>
        <v>1.2636657164619786E-2</v>
      </c>
      <c r="D11" s="52">
        <f t="shared" si="1"/>
        <v>1.0643351525778579E-2</v>
      </c>
      <c r="E11" s="48">
        <f t="shared" si="2"/>
        <v>-1.9933056388412064E-3</v>
      </c>
      <c r="F11" s="48">
        <f t="shared" si="3"/>
        <v>-1.0018315793828335E-3</v>
      </c>
      <c r="G11" s="48">
        <f t="shared" si="4"/>
        <v>1.1634825585236952E-2</v>
      </c>
      <c r="H11" s="30">
        <f t="shared" si="5"/>
        <v>0</v>
      </c>
    </row>
    <row r="12" spans="1:15" x14ac:dyDescent="0.25">
      <c r="B12" s="26">
        <v>9</v>
      </c>
      <c r="C12" s="52">
        <f t="shared" si="0"/>
        <v>0.98716445545758624</v>
      </c>
      <c r="D12" s="52">
        <f t="shared" si="1"/>
        <v>0.68104076968532634</v>
      </c>
      <c r="E12" s="48">
        <f t="shared" si="2"/>
        <v>-0.3061236857722599</v>
      </c>
      <c r="F12" s="48">
        <f t="shared" si="3"/>
        <v>-0.15385717555186673</v>
      </c>
      <c r="G12" s="48">
        <f t="shared" si="4"/>
        <v>0.83330727990571951</v>
      </c>
      <c r="H12" s="30">
        <f t="shared" si="5"/>
        <v>0</v>
      </c>
    </row>
    <row r="13" spans="1:15" x14ac:dyDescent="0.25">
      <c r="B13" s="26">
        <v>10</v>
      </c>
      <c r="C13" s="52">
        <f t="shared" si="0"/>
        <v>7.8770677291336265E-3</v>
      </c>
      <c r="D13" s="52">
        <f t="shared" si="1"/>
        <v>6.6241460677741474E-3</v>
      </c>
      <c r="E13" s="48">
        <f t="shared" si="2"/>
        <v>-1.2529216613594791E-3</v>
      </c>
      <c r="F13" s="48">
        <f t="shared" si="3"/>
        <v>-6.2971601664280714E-4</v>
      </c>
      <c r="G13" s="48">
        <f t="shared" si="4"/>
        <v>7.2473517124908189E-3</v>
      </c>
      <c r="H13" s="30">
        <f t="shared" si="5"/>
        <v>0</v>
      </c>
    </row>
    <row r="14" spans="1:15" x14ac:dyDescent="0.25">
      <c r="B14" s="26">
        <v>11</v>
      </c>
      <c r="C14" s="52">
        <f t="shared" si="0"/>
        <v>6.5341193000171698</v>
      </c>
      <c r="D14" s="52">
        <f t="shared" si="1"/>
        <v>6.0786150094839924</v>
      </c>
      <c r="E14" s="48">
        <f t="shared" si="2"/>
        <v>-0.45550429053317743</v>
      </c>
      <c r="F14" s="48">
        <f t="shared" si="3"/>
        <v>-0.22893558012799245</v>
      </c>
      <c r="G14" s="48">
        <f t="shared" si="4"/>
        <v>6.3051837198891771</v>
      </c>
      <c r="H14" s="30">
        <f t="shared" si="5"/>
        <v>0</v>
      </c>
    </row>
    <row r="15" spans="1:15" x14ac:dyDescent="0.25">
      <c r="B15" s="26">
        <v>12</v>
      </c>
      <c r="C15" s="52">
        <f t="shared" si="0"/>
        <v>1.2658928420938899E-3</v>
      </c>
      <c r="D15" s="52">
        <f t="shared" si="1"/>
        <v>7.2345470714335765E-4</v>
      </c>
      <c r="E15" s="48">
        <f t="shared" si="2"/>
        <v>-5.4243813495053221E-4</v>
      </c>
      <c r="F15" s="48">
        <f t="shared" si="3"/>
        <v>-2.7262836308981209E-4</v>
      </c>
      <c r="G15" s="48">
        <f t="shared" si="4"/>
        <v>9.9326447900407772E-4</v>
      </c>
      <c r="H15" s="30">
        <f t="shared" si="5"/>
        <v>0</v>
      </c>
    </row>
    <row r="16" spans="1:15" x14ac:dyDescent="0.25">
      <c r="B16" s="26">
        <v>13</v>
      </c>
      <c r="C16" s="52">
        <f t="shared" si="0"/>
        <v>3.1927019928471165</v>
      </c>
      <c r="D16" s="52">
        <f t="shared" si="1"/>
        <v>3.1590323561450395</v>
      </c>
      <c r="E16" s="48">
        <f t="shared" si="2"/>
        <v>-3.366963670207701E-2</v>
      </c>
      <c r="F16" s="48">
        <f t="shared" si="3"/>
        <v>-1.6922294633199088E-2</v>
      </c>
      <c r="G16" s="48">
        <f t="shared" si="4"/>
        <v>3.1757796982139173</v>
      </c>
      <c r="H16" s="30">
        <f t="shared" si="5"/>
        <v>0</v>
      </c>
    </row>
    <row r="17" spans="2:8" x14ac:dyDescent="0.25">
      <c r="B17" s="26">
        <v>14</v>
      </c>
      <c r="C17" s="52">
        <f t="shared" si="0"/>
        <v>1.3726550136797936E-2</v>
      </c>
      <c r="D17" s="52">
        <f t="shared" si="1"/>
        <v>1.2922710779955417E-2</v>
      </c>
      <c r="E17" s="48">
        <f t="shared" si="2"/>
        <v>-8.0383935684251971E-4</v>
      </c>
      <c r="F17" s="48">
        <f t="shared" si="3"/>
        <v>-4.0400811433202212E-4</v>
      </c>
      <c r="G17" s="48">
        <f t="shared" si="4"/>
        <v>1.3322542022465914E-2</v>
      </c>
      <c r="H17" s="30">
        <f t="shared" si="5"/>
        <v>0</v>
      </c>
    </row>
    <row r="18" spans="2:8" x14ac:dyDescent="0.25">
      <c r="B18" s="26">
        <v>15</v>
      </c>
      <c r="C18" s="52">
        <f t="shared" si="0"/>
        <v>0.47689818111624066</v>
      </c>
      <c r="D18" s="52">
        <f t="shared" si="1"/>
        <v>0.32445444976062632</v>
      </c>
      <c r="E18" s="48">
        <f t="shared" si="2"/>
        <v>-0.15244373135561434</v>
      </c>
      <c r="F18" s="48">
        <f t="shared" si="3"/>
        <v>-7.6617926109812162E-2</v>
      </c>
      <c r="G18" s="48">
        <f t="shared" si="4"/>
        <v>0.4002802550064285</v>
      </c>
      <c r="H18" s="30">
        <f t="shared" si="5"/>
        <v>0</v>
      </c>
    </row>
    <row r="19" spans="2:8" x14ac:dyDescent="0.25">
      <c r="B19" s="26">
        <v>16</v>
      </c>
      <c r="C19" s="52">
        <f t="shared" si="0"/>
        <v>1.1176506405604431E-2</v>
      </c>
      <c r="D19" s="52">
        <f t="shared" si="1"/>
        <v>1.0797812516310075E-2</v>
      </c>
      <c r="E19" s="48">
        <f t="shared" si="2"/>
        <v>-3.786938892943563E-4</v>
      </c>
      <c r="F19" s="48">
        <f t="shared" si="3"/>
        <v>-1.9033082023233876E-4</v>
      </c>
      <c r="G19" s="48">
        <f t="shared" si="4"/>
        <v>1.0986175585372092E-2</v>
      </c>
      <c r="H19" s="30">
        <f t="shared" si="5"/>
        <v>0</v>
      </c>
    </row>
    <row r="20" spans="2:8" x14ac:dyDescent="0.25">
      <c r="B20" s="26">
        <v>17</v>
      </c>
      <c r="C20" s="52">
        <f t="shared" si="0"/>
        <v>2.4617473384512585</v>
      </c>
      <c r="D20" s="52">
        <f t="shared" si="1"/>
        <v>2.1281057585635259</v>
      </c>
      <c r="E20" s="48">
        <f t="shared" si="2"/>
        <v>-0.33364157988773258</v>
      </c>
      <c r="F20" s="48">
        <f t="shared" si="3"/>
        <v>-0.16768761619569103</v>
      </c>
      <c r="G20" s="48">
        <f t="shared" si="4"/>
        <v>2.2940597222555676</v>
      </c>
      <c r="H20" s="30">
        <f t="shared" si="5"/>
        <v>0</v>
      </c>
    </row>
    <row r="21" spans="2:8" x14ac:dyDescent="0.25">
      <c r="B21" s="26">
        <v>18</v>
      </c>
      <c r="C21" s="52">
        <f t="shared" si="0"/>
        <v>9.7248963017647263E-4</v>
      </c>
      <c r="D21" s="52">
        <f t="shared" si="1"/>
        <v>5.3824967182370125E-4</v>
      </c>
      <c r="E21" s="48">
        <f t="shared" si="2"/>
        <v>-4.3423995835277138E-4</v>
      </c>
      <c r="F21" s="48">
        <f t="shared" si="3"/>
        <v>-2.1824816768220117E-4</v>
      </c>
      <c r="G21" s="48">
        <f t="shared" si="4"/>
        <v>7.5424146249427151E-4</v>
      </c>
      <c r="H21" s="30">
        <f t="shared" si="5"/>
        <v>0</v>
      </c>
    </row>
    <row r="22" spans="2:8" x14ac:dyDescent="0.25">
      <c r="B22" s="26">
        <v>19</v>
      </c>
      <c r="C22" s="52">
        <f t="shared" si="0"/>
        <v>1.7533389509717254</v>
      </c>
      <c r="D22" s="52">
        <f t="shared" si="1"/>
        <v>1.6441205577377018</v>
      </c>
      <c r="E22" s="48">
        <f t="shared" si="2"/>
        <v>-0.1092183932340236</v>
      </c>
      <c r="F22" s="48">
        <f t="shared" si="3"/>
        <v>-5.4892954326315378E-2</v>
      </c>
      <c r="G22" s="48">
        <f t="shared" si="4"/>
        <v>1.69844599664541</v>
      </c>
      <c r="H22" s="30">
        <f t="shared" si="5"/>
        <v>0</v>
      </c>
    </row>
    <row r="23" spans="2:8" x14ac:dyDescent="0.25">
      <c r="B23" s="26">
        <v>20</v>
      </c>
      <c r="C23" s="52">
        <f t="shared" si="0"/>
        <v>1.2482583619361326E-2</v>
      </c>
      <c r="D23" s="52">
        <f t="shared" si="1"/>
        <v>1.0659586926913772E-2</v>
      </c>
      <c r="E23" s="48">
        <f t="shared" si="2"/>
        <v>-1.8229966924475545E-3</v>
      </c>
      <c r="F23" s="48">
        <f t="shared" si="3"/>
        <v>-9.1623463056380141E-4</v>
      </c>
      <c r="G23" s="48">
        <f t="shared" si="4"/>
        <v>1.1566348988797525E-2</v>
      </c>
      <c r="H23" s="30">
        <f t="shared" si="5"/>
        <v>0</v>
      </c>
    </row>
    <row r="24" spans="2:8" x14ac:dyDescent="0.25">
      <c r="B24" s="26">
        <v>21</v>
      </c>
      <c r="C24" s="52">
        <f t="shared" si="0"/>
        <v>0.33639919482821595</v>
      </c>
      <c r="D24" s="52">
        <f t="shared" si="1"/>
        <v>0.24976274080004948</v>
      </c>
      <c r="E24" s="48">
        <f t="shared" si="2"/>
        <v>-8.6636454028166471E-2</v>
      </c>
      <c r="F24" s="48">
        <f t="shared" si="3"/>
        <v>-4.3543315124329837E-2</v>
      </c>
      <c r="G24" s="48">
        <f t="shared" si="4"/>
        <v>0.2928558797038861</v>
      </c>
      <c r="H24" s="30">
        <f t="shared" si="5"/>
        <v>0</v>
      </c>
    </row>
    <row r="25" spans="2:8" x14ac:dyDescent="0.25">
      <c r="B25" s="26">
        <v>22</v>
      </c>
      <c r="C25" s="52">
        <f t="shared" si="0"/>
        <v>9.9334339431091864E-3</v>
      </c>
      <c r="D25" s="52">
        <f t="shared" si="1"/>
        <v>8.7776949548354632E-3</v>
      </c>
      <c r="E25" s="48">
        <f t="shared" si="2"/>
        <v>-1.1557389882737232E-3</v>
      </c>
      <c r="F25" s="48">
        <f t="shared" si="3"/>
        <v>-5.8087219210882935E-4</v>
      </c>
      <c r="G25" s="48">
        <f t="shared" si="4"/>
        <v>9.3525617510003579E-3</v>
      </c>
      <c r="H25" s="30">
        <f t="shared" si="5"/>
        <v>0</v>
      </c>
    </row>
    <row r="26" spans="2:8" x14ac:dyDescent="0.25">
      <c r="B26" s="26">
        <v>23</v>
      </c>
      <c r="C26" s="52">
        <f t="shared" si="0"/>
        <v>1.1709027163413299</v>
      </c>
      <c r="D26" s="52">
        <f t="shared" si="1"/>
        <v>1.0449622436221531</v>
      </c>
      <c r="E26" s="48">
        <f t="shared" si="2"/>
        <v>-0.12594047271917685</v>
      </c>
      <c r="F26" s="48">
        <f t="shared" si="3"/>
        <v>-6.3297439305806738E-2</v>
      </c>
      <c r="G26" s="48">
        <f t="shared" si="4"/>
        <v>1.1076052770355231</v>
      </c>
      <c r="H26" s="30">
        <f t="shared" si="5"/>
        <v>0</v>
      </c>
    </row>
    <row r="27" spans="2:8" x14ac:dyDescent="0.25">
      <c r="B27" s="26">
        <v>24</v>
      </c>
      <c r="C27" s="52">
        <f t="shared" si="0"/>
        <v>2.9855222275943743E-3</v>
      </c>
      <c r="D27" s="52">
        <f t="shared" si="1"/>
        <v>2.3272957918215429E-3</v>
      </c>
      <c r="E27" s="48">
        <f t="shared" si="2"/>
        <v>-6.5822643577283148E-4</v>
      </c>
      <c r="F27" s="48">
        <f t="shared" si="3"/>
        <v>-3.3082334033088115E-4</v>
      </c>
      <c r="G27" s="48">
        <f t="shared" si="4"/>
        <v>2.6546988872634932E-3</v>
      </c>
      <c r="H27" s="30">
        <f t="shared" si="5"/>
        <v>0</v>
      </c>
    </row>
    <row r="28" spans="2:8" x14ac:dyDescent="0.25">
      <c r="B28" s="26">
        <v>25</v>
      </c>
      <c r="C28" s="52">
        <f t="shared" si="0"/>
        <v>0.89181945133108653</v>
      </c>
      <c r="D28" s="52">
        <f t="shared" si="1"/>
        <v>0.77335390981045959</v>
      </c>
      <c r="E28" s="48">
        <f t="shared" si="2"/>
        <v>-0.11846554152062694</v>
      </c>
      <c r="F28" s="48">
        <f t="shared" si="3"/>
        <v>-5.9540553265603327E-2</v>
      </c>
      <c r="G28" s="48">
        <f t="shared" si="4"/>
        <v>0.83227889806548316</v>
      </c>
      <c r="H28" s="30">
        <f t="shared" si="5"/>
        <v>0</v>
      </c>
    </row>
    <row r="29" spans="2:8" x14ac:dyDescent="0.25">
      <c r="B29" s="26">
        <v>26</v>
      </c>
      <c r="C29" s="52">
        <f t="shared" si="0"/>
        <v>1.1494261330574136E-2</v>
      </c>
      <c r="D29" s="52">
        <f t="shared" si="1"/>
        <v>1.1502164549246671E-2</v>
      </c>
      <c r="E29" s="48">
        <f t="shared" si="2"/>
        <v>7.9032186725350173E-6</v>
      </c>
      <c r="F29" s="48">
        <f t="shared" si="3"/>
        <v>3.9721425006937471E-6</v>
      </c>
      <c r="G29" s="48">
        <f t="shared" si="4"/>
        <v>1.1498233473074829E-2</v>
      </c>
      <c r="H29" s="30">
        <f t="shared" si="5"/>
        <v>0</v>
      </c>
    </row>
    <row r="30" spans="2:8" x14ac:dyDescent="0.25">
      <c r="B30" s="26">
        <v>27</v>
      </c>
      <c r="C30" s="52">
        <f t="shared" si="0"/>
        <v>0.28326195110267732</v>
      </c>
      <c r="D30" s="52">
        <f t="shared" si="1"/>
        <v>0.20563582476045428</v>
      </c>
      <c r="E30" s="48">
        <f t="shared" si="2"/>
        <v>-7.7626126342223045E-2</v>
      </c>
      <c r="F30" s="48">
        <f t="shared" si="3"/>
        <v>-3.9014741763340778E-2</v>
      </c>
      <c r="G30" s="48">
        <f t="shared" si="4"/>
        <v>0.24424720933933655</v>
      </c>
      <c r="H30" s="30">
        <f t="shared" si="5"/>
        <v>0</v>
      </c>
    </row>
    <row r="31" spans="2:8" x14ac:dyDescent="0.25">
      <c r="B31" s="26">
        <v>28</v>
      </c>
      <c r="C31" s="52">
        <f t="shared" si="0"/>
        <v>1.0537656791068419E-2</v>
      </c>
      <c r="D31" s="52">
        <f t="shared" si="1"/>
        <v>9.2930775732190107E-3</v>
      </c>
      <c r="E31" s="48">
        <f t="shared" si="2"/>
        <v>-1.2445792178494078E-3</v>
      </c>
      <c r="F31" s="48">
        <f t="shared" si="3"/>
        <v>-6.2552312058374341E-4</v>
      </c>
      <c r="G31" s="48">
        <f t="shared" si="4"/>
        <v>9.9121336704846748E-3</v>
      </c>
      <c r="H31" s="30">
        <f t="shared" si="5"/>
        <v>0</v>
      </c>
    </row>
    <row r="32" spans="2:8" x14ac:dyDescent="0.25">
      <c r="B32" s="26">
        <v>29</v>
      </c>
      <c r="C32" s="52">
        <f t="shared" si="0"/>
        <v>0.75678843679568575</v>
      </c>
      <c r="D32" s="52">
        <f t="shared" si="1"/>
        <v>0.75575983296320848</v>
      </c>
      <c r="E32" s="48">
        <f t="shared" si="2"/>
        <v>-1.0286038324772706E-3</v>
      </c>
      <c r="F32" s="48">
        <f t="shared" si="3"/>
        <v>-5.1697430738670161E-4</v>
      </c>
      <c r="G32" s="48">
        <f t="shared" si="4"/>
        <v>0.75627146248829902</v>
      </c>
      <c r="H32" s="30">
        <f t="shared" si="5"/>
        <v>0</v>
      </c>
    </row>
    <row r="33" spans="2:8" x14ac:dyDescent="0.25">
      <c r="B33" s="26">
        <v>30</v>
      </c>
      <c r="C33" s="52">
        <f t="shared" si="0"/>
        <v>3.6991571943863818E-3</v>
      </c>
      <c r="D33" s="52">
        <f t="shared" si="1"/>
        <v>1.9564019833816105E-3</v>
      </c>
      <c r="E33" s="48">
        <f t="shared" si="2"/>
        <v>-1.7427552110047713E-3</v>
      </c>
      <c r="F33" s="48">
        <f t="shared" si="3"/>
        <v>-8.7590541635830955E-4</v>
      </c>
      <c r="G33" s="48">
        <f t="shared" si="4"/>
        <v>2.8232517780280722E-3</v>
      </c>
      <c r="H33" s="30">
        <f t="shared" si="5"/>
        <v>0</v>
      </c>
    </row>
    <row r="34" spans="2:8" x14ac:dyDescent="0.25">
      <c r="B34" s="26">
        <v>31</v>
      </c>
      <c r="C34" s="52">
        <f t="shared" si="0"/>
        <v>0.46221863452787271</v>
      </c>
      <c r="D34" s="52">
        <f t="shared" si="1"/>
        <v>0.42486576546865334</v>
      </c>
      <c r="E34" s="48">
        <f t="shared" si="2"/>
        <v>-3.7352869059219362E-2</v>
      </c>
      <c r="F34" s="48">
        <f t="shared" si="3"/>
        <v>-1.8773480130138243E-2</v>
      </c>
      <c r="G34" s="48">
        <f t="shared" si="4"/>
        <v>0.44344515439773446</v>
      </c>
      <c r="H34" s="30">
        <f t="shared" si="5"/>
        <v>0</v>
      </c>
    </row>
    <row r="35" spans="2:8" x14ac:dyDescent="0.25">
      <c r="B35" s="26">
        <v>32</v>
      </c>
      <c r="C35" s="52">
        <f t="shared" si="0"/>
        <v>1.1901375104307985E-2</v>
      </c>
      <c r="D35" s="52">
        <f t="shared" si="1"/>
        <v>1.1921658515740853E-2</v>
      </c>
      <c r="E35" s="48">
        <f t="shared" si="2"/>
        <v>2.028341143286809E-5</v>
      </c>
      <c r="F35" s="48">
        <f t="shared" si="3"/>
        <v>1.0194403565162876E-5</v>
      </c>
      <c r="G35" s="48">
        <f t="shared" si="4"/>
        <v>1.1911569507873147E-2</v>
      </c>
      <c r="H35" s="30">
        <f t="shared" si="5"/>
        <v>0</v>
      </c>
    </row>
    <row r="36" spans="2:8" x14ac:dyDescent="0.25">
      <c r="B36" s="26">
        <v>33</v>
      </c>
      <c r="C36" s="52">
        <f t="shared" si="0"/>
        <v>0.22742267911109676</v>
      </c>
      <c r="D36" s="52">
        <f t="shared" si="1"/>
        <v>0.15381673439332844</v>
      </c>
      <c r="E36" s="48">
        <f t="shared" si="2"/>
        <v>-7.3605944717768323E-2</v>
      </c>
      <c r="F36" s="48">
        <f t="shared" si="3"/>
        <v>-3.6994206212869599E-2</v>
      </c>
      <c r="G36" s="48">
        <f t="shared" si="4"/>
        <v>0.19042847289822717</v>
      </c>
      <c r="H36" s="30">
        <f t="shared" si="5"/>
        <v>0</v>
      </c>
    </row>
    <row r="37" spans="2:8" x14ac:dyDescent="0.25">
      <c r="B37" s="26">
        <v>34</v>
      </c>
      <c r="C37" s="52">
        <f t="shared" si="0"/>
        <v>0.14805460867942424</v>
      </c>
      <c r="D37" s="52">
        <f t="shared" si="1"/>
        <v>0.10865726471480185</v>
      </c>
      <c r="E37" s="48">
        <f t="shared" si="2"/>
        <v>-3.9397343964622397E-2</v>
      </c>
      <c r="F37" s="48">
        <f t="shared" si="3"/>
        <v>-1.9801029284456196E-2</v>
      </c>
      <c r="G37" s="48">
        <f t="shared" si="4"/>
        <v>0.12825357939496804</v>
      </c>
      <c r="H37" s="30">
        <f t="shared" si="5"/>
        <v>0</v>
      </c>
    </row>
    <row r="38" spans="2:8" x14ac:dyDescent="0.25">
      <c r="B38" s="26">
        <v>35</v>
      </c>
      <c r="C38" s="52">
        <f t="shared" si="0"/>
        <v>0.5658478637815777</v>
      </c>
      <c r="D38" s="52">
        <f t="shared" si="1"/>
        <v>0.55172205299175037</v>
      </c>
      <c r="E38" s="48">
        <f t="shared" si="2"/>
        <v>-1.4125810789827331E-2</v>
      </c>
      <c r="F38" s="48">
        <f t="shared" si="3"/>
        <v>-7.0996053278927973E-3</v>
      </c>
      <c r="G38" s="48">
        <f t="shared" si="4"/>
        <v>0.55874825845368492</v>
      </c>
      <c r="H38" s="30">
        <f t="shared" si="5"/>
        <v>0</v>
      </c>
    </row>
    <row r="39" spans="2:8" x14ac:dyDescent="0.25">
      <c r="B39" s="26">
        <v>36</v>
      </c>
      <c r="C39" s="52">
        <f t="shared" si="0"/>
        <v>0.14805460867942424</v>
      </c>
      <c r="D39" s="52">
        <f t="shared" si="1"/>
        <v>0.10865726471480185</v>
      </c>
      <c r="E39" s="48">
        <f t="shared" si="2"/>
        <v>-3.9397343964622397E-2</v>
      </c>
      <c r="F39" s="48">
        <f t="shared" si="3"/>
        <v>-1.9801029284456196E-2</v>
      </c>
      <c r="G39" s="48">
        <f t="shared" si="4"/>
        <v>0.12825357939496804</v>
      </c>
      <c r="H39" s="30">
        <f t="shared" si="5"/>
        <v>0</v>
      </c>
    </row>
    <row r="40" spans="2:8" x14ac:dyDescent="0.25">
      <c r="B40" s="26">
        <v>37</v>
      </c>
      <c r="C40" s="52">
        <f t="shared" si="0"/>
        <v>0.32136315457507253</v>
      </c>
      <c r="D40" s="52">
        <f t="shared" si="1"/>
        <v>0.32334277343163409</v>
      </c>
      <c r="E40" s="48">
        <f t="shared" si="2"/>
        <v>1.9796188565615602E-3</v>
      </c>
      <c r="F40" s="48">
        <f t="shared" si="3"/>
        <v>9.9495262893955962E-4</v>
      </c>
      <c r="G40" s="48">
        <f t="shared" si="4"/>
        <v>0.32235810720401209</v>
      </c>
      <c r="H40" s="30">
        <f t="shared" si="5"/>
        <v>0</v>
      </c>
    </row>
    <row r="41" spans="2:8" x14ac:dyDescent="0.25">
      <c r="B41" s="26">
        <v>38</v>
      </c>
      <c r="C41" s="52">
        <f t="shared" si="0"/>
        <v>0.14805460867942424</v>
      </c>
      <c r="D41" s="52">
        <f t="shared" si="1"/>
        <v>0.10865726471480185</v>
      </c>
      <c r="E41" s="48">
        <f t="shared" si="2"/>
        <v>-3.9397343964622397E-2</v>
      </c>
      <c r="F41" s="48">
        <f t="shared" si="3"/>
        <v>-1.9801029284456196E-2</v>
      </c>
      <c r="G41" s="48">
        <f t="shared" si="4"/>
        <v>0.12825357939496804</v>
      </c>
      <c r="H41" s="30">
        <f t="shared" si="5"/>
        <v>0</v>
      </c>
    </row>
    <row r="42" spans="2:8" x14ac:dyDescent="0.25">
      <c r="B42" s="26">
        <v>39</v>
      </c>
      <c r="C42" s="52">
        <f t="shared" si="0"/>
        <v>0.17818419975534588</v>
      </c>
      <c r="D42" s="52">
        <f t="shared" si="1"/>
        <v>0.12256174642203793</v>
      </c>
      <c r="E42" s="48">
        <f t="shared" si="2"/>
        <v>-5.5622453333307953E-2</v>
      </c>
      <c r="F42" s="48">
        <f t="shared" si="3"/>
        <v>-2.7955738039476367E-2</v>
      </c>
      <c r="G42" s="48">
        <f t="shared" si="4"/>
        <v>0.15022846171586951</v>
      </c>
      <c r="H42" s="30">
        <f t="shared" si="5"/>
        <v>0</v>
      </c>
    </row>
    <row r="43" spans="2:8" x14ac:dyDescent="0.25">
      <c r="B43" s="26">
        <v>40</v>
      </c>
      <c r="C43" s="52">
        <f t="shared" si="0"/>
        <v>0.14805460867942424</v>
      </c>
      <c r="D43" s="52">
        <f t="shared" si="1"/>
        <v>0.10865726471480185</v>
      </c>
      <c r="E43" s="48">
        <f t="shared" si="2"/>
        <v>-3.9397343964622397E-2</v>
      </c>
      <c r="F43" s="48">
        <f t="shared" si="3"/>
        <v>-1.9801029284456196E-2</v>
      </c>
      <c r="G43" s="48">
        <f t="shared" si="4"/>
        <v>0.12825357939496804</v>
      </c>
      <c r="H43" s="30">
        <f t="shared" si="5"/>
        <v>0</v>
      </c>
    </row>
    <row r="44" spans="2:8" x14ac:dyDescent="0.25">
      <c r="B44" s="26">
        <v>41</v>
      </c>
      <c r="C44" s="52">
        <f t="shared" si="0"/>
        <v>0.41594580564321404</v>
      </c>
      <c r="D44" s="52">
        <f t="shared" si="1"/>
        <v>0.37579029347140652</v>
      </c>
      <c r="E44" s="48">
        <f t="shared" si="2"/>
        <v>-4.0155512171807517E-2</v>
      </c>
      <c r="F44" s="48">
        <f t="shared" si="3"/>
        <v>-2.0182083166832048E-2</v>
      </c>
      <c r="G44" s="48">
        <f t="shared" si="4"/>
        <v>0.39576372247638197</v>
      </c>
      <c r="H44" s="30">
        <f t="shared" si="5"/>
        <v>0</v>
      </c>
    </row>
    <row r="45" spans="2:8" x14ac:dyDescent="0.25">
      <c r="B45" s="26">
        <v>42</v>
      </c>
      <c r="C45" s="52">
        <f t="shared" si="0"/>
        <v>0.14805460867942424</v>
      </c>
      <c r="D45" s="52">
        <f t="shared" si="1"/>
        <v>0.10865726471480185</v>
      </c>
      <c r="E45" s="48">
        <f t="shared" si="2"/>
        <v>-3.9397343964622397E-2</v>
      </c>
      <c r="F45" s="48">
        <f t="shared" si="3"/>
        <v>-1.9801029284456196E-2</v>
      </c>
      <c r="G45" s="48">
        <f t="shared" si="4"/>
        <v>0.12825357939496804</v>
      </c>
      <c r="H45" s="30">
        <f t="shared" si="5"/>
        <v>0</v>
      </c>
    </row>
    <row r="46" spans="2:8" x14ac:dyDescent="0.25">
      <c r="B46" s="26">
        <v>43</v>
      </c>
      <c r="C46" s="52">
        <f t="shared" si="0"/>
        <v>0.24818871965708805</v>
      </c>
      <c r="D46" s="52">
        <f t="shared" si="1"/>
        <v>0.22308863199724832</v>
      </c>
      <c r="E46" s="48">
        <f t="shared" si="2"/>
        <v>-2.5100087659839732E-2</v>
      </c>
      <c r="F46" s="48">
        <f t="shared" si="3"/>
        <v>-1.2615255770571784E-2</v>
      </c>
      <c r="G46" s="48">
        <f t="shared" si="4"/>
        <v>0.23557346388651626</v>
      </c>
      <c r="H46" s="30">
        <f t="shared" si="5"/>
        <v>0</v>
      </c>
    </row>
    <row r="47" spans="2:8" x14ac:dyDescent="0.25">
      <c r="B47" s="26">
        <v>44</v>
      </c>
      <c r="C47" s="52">
        <f t="shared" si="0"/>
        <v>0.14805460867942424</v>
      </c>
      <c r="D47" s="52">
        <f t="shared" si="1"/>
        <v>0.10865726471480185</v>
      </c>
      <c r="E47" s="48">
        <f t="shared" si="2"/>
        <v>-3.9397343964622397E-2</v>
      </c>
      <c r="F47" s="48">
        <f t="shared" si="3"/>
        <v>-1.9801029284456196E-2</v>
      </c>
      <c r="G47" s="48">
        <f t="shared" si="4"/>
        <v>0.12825357939496804</v>
      </c>
      <c r="H47" s="30">
        <f t="shared" si="5"/>
        <v>0</v>
      </c>
    </row>
    <row r="48" spans="2:8" x14ac:dyDescent="0.25">
      <c r="B48" s="26">
        <v>45</v>
      </c>
      <c r="C48" s="52">
        <f t="shared" si="0"/>
        <v>0.14808361462956454</v>
      </c>
      <c r="D48" s="52">
        <f t="shared" si="1"/>
        <v>0.10867252849450271</v>
      </c>
      <c r="E48" s="48">
        <f t="shared" si="2"/>
        <v>-3.9411086135061835E-2</v>
      </c>
      <c r="F48" s="48">
        <f t="shared" si="3"/>
        <v>-1.9807936072882028E-2</v>
      </c>
      <c r="G48" s="48">
        <f t="shared" si="4"/>
        <v>0.12827567855668251</v>
      </c>
      <c r="H48" s="30">
        <f t="shared" si="5"/>
        <v>0</v>
      </c>
    </row>
    <row r="49" spans="1:21" x14ac:dyDescent="0.25">
      <c r="B49" s="26">
        <v>46</v>
      </c>
      <c r="C49" s="52">
        <f t="shared" si="0"/>
        <v>0.14805460867942424</v>
      </c>
      <c r="D49" s="52">
        <f t="shared" si="1"/>
        <v>0.10865726471480185</v>
      </c>
      <c r="E49" s="48">
        <f t="shared" si="2"/>
        <v>-3.9397343964622397E-2</v>
      </c>
      <c r="F49" s="48">
        <f t="shared" si="3"/>
        <v>-1.9801029284456196E-2</v>
      </c>
      <c r="G49" s="48">
        <f t="shared" si="4"/>
        <v>0.12825357939496804</v>
      </c>
      <c r="H49" s="30">
        <f t="shared" si="5"/>
        <v>0</v>
      </c>
    </row>
    <row r="50" spans="1:21" x14ac:dyDescent="0.25">
      <c r="B50" s="26">
        <v>47</v>
      </c>
      <c r="C50" s="52">
        <f t="shared" si="0"/>
        <v>0.2786885915405366</v>
      </c>
      <c r="D50" s="52">
        <f t="shared" si="1"/>
        <v>0.26697263616116279</v>
      </c>
      <c r="E50" s="48">
        <f t="shared" si="2"/>
        <v>-1.171595537937381E-2</v>
      </c>
      <c r="F50" s="48">
        <f t="shared" si="3"/>
        <v>-5.8884166346513363E-3</v>
      </c>
      <c r="G50" s="48">
        <f t="shared" si="4"/>
        <v>0.27280017490588526</v>
      </c>
      <c r="H50" s="30">
        <f t="shared" si="5"/>
        <v>0</v>
      </c>
    </row>
    <row r="51" spans="1:21" x14ac:dyDescent="0.25">
      <c r="B51" s="26">
        <v>48</v>
      </c>
      <c r="C51" s="52">
        <f t="shared" si="0"/>
        <v>0.14805460867942424</v>
      </c>
      <c r="D51" s="52">
        <f t="shared" si="1"/>
        <v>0.10865726471480185</v>
      </c>
      <c r="E51" s="48">
        <f t="shared" si="2"/>
        <v>-3.9397343964622397E-2</v>
      </c>
      <c r="F51" s="48">
        <f t="shared" si="3"/>
        <v>-1.9801029284456196E-2</v>
      </c>
      <c r="G51" s="48">
        <f t="shared" si="4"/>
        <v>0.12825357939496804</v>
      </c>
      <c r="H51" s="30">
        <f t="shared" si="5"/>
        <v>0</v>
      </c>
    </row>
    <row r="52" spans="1:21" x14ac:dyDescent="0.25">
      <c r="B52" s="26">
        <v>49</v>
      </c>
      <c r="C52" s="52">
        <f t="shared" si="0"/>
        <v>0.18022284651166184</v>
      </c>
      <c r="D52" s="52">
        <f t="shared" si="1"/>
        <v>0.15241194609444156</v>
      </c>
      <c r="E52" s="48">
        <f t="shared" si="2"/>
        <v>-2.7810900417220286E-2</v>
      </c>
      <c r="F52" s="48">
        <f t="shared" si="3"/>
        <v>-1.3977705047400445E-2</v>
      </c>
      <c r="G52" s="48">
        <f t="shared" si="4"/>
        <v>0.16624514146426139</v>
      </c>
      <c r="H52" s="30">
        <f t="shared" si="5"/>
        <v>0</v>
      </c>
    </row>
    <row r="53" spans="1:21" x14ac:dyDescent="0.25">
      <c r="B53" s="26">
        <v>50</v>
      </c>
      <c r="C53" s="52">
        <f t="shared" si="0"/>
        <v>0.14805460867942424</v>
      </c>
      <c r="D53" s="52">
        <f t="shared" si="1"/>
        <v>0.10865726471480185</v>
      </c>
      <c r="E53" s="48">
        <f t="shared" si="2"/>
        <v>-3.9397343964622397E-2</v>
      </c>
      <c r="F53" s="48">
        <f t="shared" si="3"/>
        <v>-1.9801029284456196E-2</v>
      </c>
      <c r="G53" s="48">
        <f t="shared" si="4"/>
        <v>0.12825357939496804</v>
      </c>
      <c r="H53" s="30">
        <f t="shared" si="5"/>
        <v>0</v>
      </c>
    </row>
    <row r="54" spans="1:21" x14ac:dyDescent="0.25">
      <c r="C54" s="41"/>
      <c r="D54" s="41"/>
      <c r="E54" s="32"/>
      <c r="F54" s="32"/>
    </row>
    <row r="55" spans="1:21" x14ac:dyDescent="0.25">
      <c r="F55" s="26" t="s">
        <v>85</v>
      </c>
      <c r="G55" s="29">
        <f>IF(H4=0,0,100*H55/H4)</f>
        <v>0</v>
      </c>
      <c r="H55" s="29">
        <f>SQRT(SUMSQ(H5:H53))</f>
        <v>0</v>
      </c>
      <c r="I55" s="26" t="s">
        <v>52</v>
      </c>
    </row>
    <row r="56" spans="1:21" x14ac:dyDescent="0.25">
      <c r="F56" s="26" t="s">
        <v>86</v>
      </c>
      <c r="G56" s="29">
        <f>SQRT(SUMSQ(G4:G53))</f>
        <v>105.99180731750884</v>
      </c>
      <c r="H56" s="29">
        <f>SQRT(SUMSQ(H4:H53))</f>
        <v>0</v>
      </c>
      <c r="I56" s="26" t="s">
        <v>54</v>
      </c>
    </row>
    <row r="57" spans="1:21" x14ac:dyDescent="0.25">
      <c r="G57" s="26" t="s">
        <v>87</v>
      </c>
      <c r="H57" s="26" t="s">
        <v>13</v>
      </c>
    </row>
    <row r="59" spans="1:21" x14ac:dyDescent="0.25">
      <c r="A59" s="25" t="s">
        <v>63</v>
      </c>
      <c r="C59" s="36"/>
      <c r="D59" s="36"/>
      <c r="E59" s="36"/>
      <c r="F59" s="36"/>
      <c r="G59" s="36"/>
      <c r="H59" s="36"/>
      <c r="I59" s="36"/>
      <c r="J59" s="36"/>
      <c r="K59" s="36"/>
      <c r="L59" s="36"/>
      <c r="M59" s="36"/>
      <c r="N59" s="36"/>
      <c r="O59" s="36"/>
      <c r="P59" s="36"/>
      <c r="Q59" s="36"/>
      <c r="R59" s="36"/>
      <c r="S59" s="36"/>
    </row>
    <row r="60" spans="1:21" ht="14.4" x14ac:dyDescent="0.3">
      <c r="C60" s="1" t="s">
        <v>478</v>
      </c>
      <c r="D60" s="7">
        <f>100/D62</f>
        <v>1000</v>
      </c>
      <c r="E60" s="7">
        <f t="shared" ref="E60:U60" si="6">100/E62</f>
        <v>200</v>
      </c>
      <c r="F60" s="7">
        <f t="shared" si="6"/>
        <v>100</v>
      </c>
      <c r="G60" s="7">
        <f t="shared" si="6"/>
        <v>50</v>
      </c>
      <c r="H60" s="7">
        <f t="shared" si="6"/>
        <v>33.333333333333336</v>
      </c>
      <c r="I60" s="7">
        <f t="shared" si="6"/>
        <v>25</v>
      </c>
      <c r="J60" s="7">
        <f t="shared" si="6"/>
        <v>20</v>
      </c>
      <c r="K60" s="7">
        <f t="shared" si="6"/>
        <v>16.666666666666668</v>
      </c>
      <c r="L60" s="7">
        <f t="shared" si="6"/>
        <v>14.285714285714286</v>
      </c>
      <c r="M60" s="7">
        <f t="shared" si="6"/>
        <v>12.5</v>
      </c>
      <c r="N60" s="7">
        <f t="shared" si="6"/>
        <v>10</v>
      </c>
      <c r="O60" s="7">
        <f t="shared" si="6"/>
        <v>8.3333333333333339</v>
      </c>
      <c r="P60" s="7">
        <f t="shared" si="6"/>
        <v>7.1428571428571432</v>
      </c>
      <c r="Q60" s="7">
        <f t="shared" si="6"/>
        <v>5.5555555555555554</v>
      </c>
      <c r="R60" s="7">
        <f t="shared" si="6"/>
        <v>4.7619047619047619</v>
      </c>
      <c r="S60" s="7">
        <f t="shared" si="6"/>
        <v>1</v>
      </c>
      <c r="T60" s="7">
        <f t="shared" si="6"/>
        <v>0.1</v>
      </c>
      <c r="U60" s="7">
        <f t="shared" si="6"/>
        <v>0.01</v>
      </c>
    </row>
    <row r="61" spans="1:21" ht="14.4" x14ac:dyDescent="0.3">
      <c r="C61" s="1" t="s">
        <v>64</v>
      </c>
      <c r="D61">
        <v>0</v>
      </c>
      <c r="E61">
        <v>1</v>
      </c>
      <c r="F61">
        <v>2</v>
      </c>
      <c r="G61">
        <v>3</v>
      </c>
      <c r="H61">
        <v>4</v>
      </c>
      <c r="I61">
        <v>5</v>
      </c>
      <c r="J61">
        <v>6</v>
      </c>
      <c r="K61">
        <v>7</v>
      </c>
      <c r="L61">
        <v>8</v>
      </c>
      <c r="M61">
        <v>9</v>
      </c>
      <c r="N61">
        <v>10</v>
      </c>
      <c r="O61">
        <v>11</v>
      </c>
      <c r="P61">
        <v>12</v>
      </c>
      <c r="Q61">
        <v>13</v>
      </c>
      <c r="R61">
        <v>14</v>
      </c>
      <c r="S61">
        <v>15</v>
      </c>
      <c r="T61">
        <v>16</v>
      </c>
      <c r="U61">
        <v>17</v>
      </c>
    </row>
    <row r="62" spans="1:21" ht="14.4" x14ac:dyDescent="0.3">
      <c r="A62" s="26" t="s">
        <v>65</v>
      </c>
      <c r="B62" s="54"/>
      <c r="C62" s="216" t="s">
        <v>1</v>
      </c>
      <c r="D62" s="296">
        <v>0.1</v>
      </c>
      <c r="E62" s="296">
        <v>0.5</v>
      </c>
      <c r="F62" s="296">
        <v>1</v>
      </c>
      <c r="G62" s="296">
        <v>2</v>
      </c>
      <c r="H62" s="296">
        <v>3</v>
      </c>
      <c r="I62" s="296">
        <v>4</v>
      </c>
      <c r="J62" s="296">
        <v>5</v>
      </c>
      <c r="K62" s="296">
        <v>6</v>
      </c>
      <c r="L62" s="296">
        <v>7</v>
      </c>
      <c r="M62" s="296">
        <v>8</v>
      </c>
      <c r="N62" s="296">
        <v>10</v>
      </c>
      <c r="O62" s="296">
        <v>12</v>
      </c>
      <c r="P62" s="296">
        <v>14</v>
      </c>
      <c r="Q62" s="296">
        <v>18</v>
      </c>
      <c r="R62" s="296">
        <v>21</v>
      </c>
      <c r="S62" s="296">
        <v>100</v>
      </c>
      <c r="T62" s="296">
        <v>1000</v>
      </c>
      <c r="U62" s="296">
        <v>10000</v>
      </c>
    </row>
    <row r="63" spans="1:21" ht="14.4" x14ac:dyDescent="0.3">
      <c r="A63" s="31"/>
      <c r="C63" s="1" t="s">
        <v>64</v>
      </c>
      <c r="D63">
        <v>0</v>
      </c>
      <c r="E63">
        <v>1</v>
      </c>
      <c r="F63">
        <v>2</v>
      </c>
      <c r="G63">
        <v>3</v>
      </c>
      <c r="H63">
        <v>4</v>
      </c>
      <c r="I63">
        <v>5</v>
      </c>
      <c r="J63">
        <v>6</v>
      </c>
      <c r="K63">
        <v>7</v>
      </c>
      <c r="L63">
        <v>8</v>
      </c>
      <c r="M63">
        <v>9</v>
      </c>
      <c r="N63">
        <v>10</v>
      </c>
      <c r="O63">
        <v>11</v>
      </c>
      <c r="P63">
        <v>12</v>
      </c>
      <c r="Q63">
        <v>13</v>
      </c>
      <c r="R63">
        <v>14</v>
      </c>
      <c r="S63">
        <v>15</v>
      </c>
      <c r="T63">
        <v>16</v>
      </c>
      <c r="U63">
        <v>17</v>
      </c>
    </row>
    <row r="64" spans="1:21" ht="14.4" x14ac:dyDescent="0.3">
      <c r="A64" s="43">
        <v>2</v>
      </c>
      <c r="B64" s="43"/>
      <c r="C64" s="1"/>
      <c r="D64" s="298">
        <v>1.7291324964220301E-2</v>
      </c>
      <c r="E64" s="298">
        <v>6.6998018440489568E-2</v>
      </c>
      <c r="F64" s="298">
        <v>0.12416560747379798</v>
      </c>
      <c r="G64" s="298">
        <v>0.19164678959143519</v>
      </c>
      <c r="H64" s="298">
        <v>3.2432337711389723E-2</v>
      </c>
      <c r="I64" s="298">
        <v>2.6794917304969575E-2</v>
      </c>
      <c r="J64" s="298">
        <v>1.0787351058726545E-2</v>
      </c>
      <c r="K64" s="298">
        <v>1.5488830696511377E-2</v>
      </c>
      <c r="L64" s="298">
        <v>1.1120918013740941E-2</v>
      </c>
      <c r="M64" s="298">
        <v>1.2571907703050382E-2</v>
      </c>
      <c r="N64" s="298">
        <v>2.636287592484499E-2</v>
      </c>
      <c r="O64" s="298">
        <v>3.9068771982494086E-3</v>
      </c>
      <c r="P64" s="298">
        <v>1.783236037225493E-2</v>
      </c>
      <c r="Q64" s="298">
        <v>6.5715038062707058E-3</v>
      </c>
      <c r="R64" s="298">
        <v>5.7146036546192576E-3</v>
      </c>
      <c r="S64" s="298">
        <v>5.7146036546192576E-3</v>
      </c>
      <c r="T64" s="298">
        <v>5.7146036546192576E-3</v>
      </c>
      <c r="U64" s="298">
        <v>5.7146036546192576E-3</v>
      </c>
    </row>
    <row r="65" spans="1:21" ht="14.4" x14ac:dyDescent="0.3">
      <c r="A65" s="43">
        <v>3</v>
      </c>
      <c r="B65" s="43"/>
      <c r="C65" s="1"/>
      <c r="D65" s="298">
        <v>0.55385104430828935</v>
      </c>
      <c r="E65" s="298">
        <v>8.5473774716319078</v>
      </c>
      <c r="F65" s="298">
        <v>4.3857615521600959</v>
      </c>
      <c r="G65" s="298">
        <v>4.8916763402676038</v>
      </c>
      <c r="H65" s="298">
        <v>5.107248510230364</v>
      </c>
      <c r="I65" s="298">
        <v>6.2072885442798249</v>
      </c>
      <c r="J65" s="298">
        <v>7.7608557639223745</v>
      </c>
      <c r="K65" s="298">
        <v>5.1365577880102951</v>
      </c>
      <c r="L65" s="298">
        <v>3.7115343236794409</v>
      </c>
      <c r="M65" s="298">
        <v>2.8652501742303245</v>
      </c>
      <c r="N65" s="298">
        <v>1.976424393859703</v>
      </c>
      <c r="O65" s="298">
        <v>1.512989131711088</v>
      </c>
      <c r="P65" s="298">
        <v>1.2479844012146544</v>
      </c>
      <c r="Q65" s="298">
        <v>0.90186138282906037</v>
      </c>
      <c r="R65" s="298">
        <v>0.8611207071065603</v>
      </c>
      <c r="S65" s="298">
        <v>0.8611207071065603</v>
      </c>
      <c r="T65" s="298">
        <v>0.8611207071065603</v>
      </c>
      <c r="U65" s="298">
        <v>0.8611207071065603</v>
      </c>
    </row>
    <row r="66" spans="1:21" ht="14.4" x14ac:dyDescent="0.3">
      <c r="A66" s="43">
        <v>4</v>
      </c>
      <c r="B66" s="43"/>
      <c r="C66" s="1"/>
      <c r="D66" s="298">
        <v>0.13520250276733159</v>
      </c>
      <c r="E66" s="298">
        <v>2.8695360144102396E-2</v>
      </c>
      <c r="F66" s="298">
        <v>0.11237654569855723</v>
      </c>
      <c r="G66" s="298">
        <v>0.1270693443534559</v>
      </c>
      <c r="H66" s="298">
        <v>2.9673650735424224E-2</v>
      </c>
      <c r="I66" s="298">
        <v>2.1212221057019379E-2</v>
      </c>
      <c r="J66" s="298">
        <v>1.8916758051922035E-2</v>
      </c>
      <c r="K66" s="298">
        <v>2.4591818946340816E-2</v>
      </c>
      <c r="L66" s="298">
        <v>2.2309871990685983E-2</v>
      </c>
      <c r="M66" s="298">
        <v>1.4672119245636975E-2</v>
      </c>
      <c r="N66" s="298">
        <v>3.4977738354405041E-3</v>
      </c>
      <c r="O66" s="298">
        <v>3.318391374383355E-3</v>
      </c>
      <c r="P66" s="298">
        <v>1.8380050856337499E-2</v>
      </c>
      <c r="Q66" s="298">
        <v>5.7240454854559945E-3</v>
      </c>
      <c r="R66" s="298">
        <v>1.5847873572736098E-3</v>
      </c>
      <c r="S66" s="298">
        <v>1.5847873572736098E-3</v>
      </c>
      <c r="T66" s="298">
        <v>1.5847873572736098E-3</v>
      </c>
      <c r="U66" s="298">
        <v>1.5847873572736098E-3</v>
      </c>
    </row>
    <row r="67" spans="1:21" ht="14.4" x14ac:dyDescent="0.3">
      <c r="A67" s="43">
        <v>5</v>
      </c>
      <c r="B67" s="43"/>
      <c r="C67" s="1"/>
      <c r="D67" s="298">
        <v>93.368748010282204</v>
      </c>
      <c r="E67" s="298">
        <v>82.87682728374898</v>
      </c>
      <c r="F67" s="298">
        <v>73.247221838386295</v>
      </c>
      <c r="G67" s="298">
        <v>60.831459052554194</v>
      </c>
      <c r="H67" s="298">
        <v>49.382828970020235</v>
      </c>
      <c r="I67" s="298">
        <v>41.72752692184784</v>
      </c>
      <c r="J67" s="298">
        <v>37.27946499417164</v>
      </c>
      <c r="K67" s="298">
        <v>34.240442443062605</v>
      </c>
      <c r="L67" s="298">
        <v>31.801834469310585</v>
      </c>
      <c r="M67" s="298">
        <v>29.833911528390878</v>
      </c>
      <c r="N67" s="298">
        <v>26.829447444032468</v>
      </c>
      <c r="O67" s="298">
        <v>24.524377947577921</v>
      </c>
      <c r="P67" s="298">
        <v>22.666145948519805</v>
      </c>
      <c r="Q67" s="298">
        <v>19.683481307529799</v>
      </c>
      <c r="R67" s="298">
        <v>19.55420880107971</v>
      </c>
      <c r="S67" s="298">
        <v>19.55420880107971</v>
      </c>
      <c r="T67" s="298">
        <v>19.55420880107971</v>
      </c>
      <c r="U67" s="298">
        <v>19.55420880107971</v>
      </c>
    </row>
    <row r="68" spans="1:21" ht="14.4" x14ac:dyDescent="0.3">
      <c r="A68" s="43">
        <v>6</v>
      </c>
      <c r="B68" s="43"/>
      <c r="C68" s="1"/>
      <c r="D68" s="298">
        <v>6.8818496078623531E-2</v>
      </c>
      <c r="E68" s="298">
        <v>5.2936191485114158E-2</v>
      </c>
      <c r="F68" s="298">
        <v>7.0102641631974985E-3</v>
      </c>
      <c r="G68" s="298">
        <v>1.1862351899176933E-2</v>
      </c>
      <c r="H68" s="298">
        <v>1.9222702695116914E-3</v>
      </c>
      <c r="I68" s="298">
        <v>1.1087146410300954E-2</v>
      </c>
      <c r="J68" s="298">
        <v>6.7285132893848583E-3</v>
      </c>
      <c r="K68" s="298">
        <v>4.5194792975590103E-3</v>
      </c>
      <c r="L68" s="298">
        <v>6.0169639857389576E-3</v>
      </c>
      <c r="M68" s="298">
        <v>7.3330327729595772E-3</v>
      </c>
      <c r="N68" s="298">
        <v>4.9368015428742544E-3</v>
      </c>
      <c r="O68" s="298">
        <v>2.1005572354824645E-3</v>
      </c>
      <c r="P68" s="298">
        <v>9.2816222816082712E-3</v>
      </c>
      <c r="Q68" s="298">
        <v>3.8021989595571734E-3</v>
      </c>
      <c r="R68" s="298">
        <v>2.6949365909897677E-3</v>
      </c>
      <c r="S68" s="298">
        <v>2.6949365909897677E-3</v>
      </c>
      <c r="T68" s="298">
        <v>2.6949365909897677E-3</v>
      </c>
      <c r="U68" s="298">
        <v>2.6949365909897677E-3</v>
      </c>
    </row>
    <row r="69" spans="1:21" ht="14.4" x14ac:dyDescent="0.3">
      <c r="A69" s="43">
        <v>7</v>
      </c>
      <c r="B69" s="43"/>
      <c r="C69" s="1"/>
      <c r="D69" s="298">
        <v>85.792929223620419</v>
      </c>
      <c r="E69" s="298">
        <v>65.67536665068971</v>
      </c>
      <c r="F69" s="298">
        <v>52.471101352240538</v>
      </c>
      <c r="G69" s="298">
        <v>34.473926081721721</v>
      </c>
      <c r="H69" s="298">
        <v>20.70483242585701</v>
      </c>
      <c r="I69" s="298">
        <v>13.8859457017344</v>
      </c>
      <c r="J69" s="298">
        <v>10.407370469722119</v>
      </c>
      <c r="K69" s="298">
        <v>8.4234250472584673</v>
      </c>
      <c r="L69" s="298">
        <v>7.3447486655802345</v>
      </c>
      <c r="M69" s="298">
        <v>6.8022663683683335</v>
      </c>
      <c r="N69" s="298">
        <v>6.5166708279323533</v>
      </c>
      <c r="O69" s="298">
        <v>6.6273860488121423</v>
      </c>
      <c r="P69" s="298">
        <v>6.8022403042729351</v>
      </c>
      <c r="Q69" s="298">
        <v>6.987229811341364</v>
      </c>
      <c r="R69" s="298">
        <v>7.326010337515557</v>
      </c>
      <c r="S69" s="298">
        <v>7.326010337515557</v>
      </c>
      <c r="T69" s="298">
        <v>7.326010337515557</v>
      </c>
      <c r="U69" s="298">
        <v>7.326010337515557</v>
      </c>
    </row>
    <row r="70" spans="1:21" ht="14.4" x14ac:dyDescent="0.3">
      <c r="A70" s="43">
        <v>8</v>
      </c>
      <c r="B70" s="43"/>
      <c r="C70" s="1"/>
      <c r="D70" s="298">
        <v>0.15207091572872264</v>
      </c>
      <c r="E70" s="298">
        <v>5.2891824469196221E-2</v>
      </c>
      <c r="F70" s="298">
        <v>5.7040082585237739E-2</v>
      </c>
      <c r="G70" s="298">
        <v>1.9116049168177565E-2</v>
      </c>
      <c r="H70" s="298">
        <v>2.3564987660073828E-2</v>
      </c>
      <c r="I70" s="298">
        <v>8.5355102461392024E-3</v>
      </c>
      <c r="J70" s="298">
        <v>1.9603945043945102E-2</v>
      </c>
      <c r="K70" s="298">
        <v>1.2636657164619786E-2</v>
      </c>
      <c r="L70" s="298">
        <v>1.0643351525778579E-2</v>
      </c>
      <c r="M70" s="298">
        <v>4.3473848598230228E-3</v>
      </c>
      <c r="N70" s="298">
        <v>2.5415807506222721E-3</v>
      </c>
      <c r="O70" s="298">
        <v>1.2216655309818655E-3</v>
      </c>
      <c r="P70" s="298">
        <v>6.4595461603830819E-3</v>
      </c>
      <c r="Q70" s="298">
        <v>1.3983813924981661E-3</v>
      </c>
      <c r="R70" s="298">
        <v>3.4056178014729927E-3</v>
      </c>
      <c r="S70" s="298">
        <v>3.4056178014729927E-3</v>
      </c>
      <c r="T70" s="298">
        <v>3.4056178014729927E-3</v>
      </c>
      <c r="U70" s="298">
        <v>3.4056178014729927E-3</v>
      </c>
    </row>
    <row r="71" spans="1:21" ht="14.4" x14ac:dyDescent="0.3">
      <c r="A71" s="43">
        <v>9</v>
      </c>
      <c r="B71" s="43"/>
      <c r="C71" s="1"/>
      <c r="D71" s="298">
        <v>1.154353524821659</v>
      </c>
      <c r="E71" s="298">
        <v>3.5914593530271834</v>
      </c>
      <c r="F71" s="298">
        <v>0.66156600737101889</v>
      </c>
      <c r="G71" s="298">
        <v>0.60368769264829547</v>
      </c>
      <c r="H71" s="298">
        <v>0.42447764331950832</v>
      </c>
      <c r="I71" s="298">
        <v>1.0648962156533353</v>
      </c>
      <c r="J71" s="298">
        <v>1.5532650518305111</v>
      </c>
      <c r="K71" s="298">
        <v>0.98716445545758624</v>
      </c>
      <c r="L71" s="298">
        <v>0.68104076968532634</v>
      </c>
      <c r="M71" s="298">
        <v>0.50610374236669098</v>
      </c>
      <c r="N71" s="298">
        <v>0.31868142208094846</v>
      </c>
      <c r="O71" s="298">
        <v>0.22626624756676589</v>
      </c>
      <c r="P71" s="298">
        <v>0.1789795622711387</v>
      </c>
      <c r="Q71" s="298">
        <v>0.13966052871548112</v>
      </c>
      <c r="R71" s="298">
        <v>0.13247290047204982</v>
      </c>
      <c r="S71" s="298">
        <v>0.13247290047204982</v>
      </c>
      <c r="T71" s="298">
        <v>0.13247290047204982</v>
      </c>
      <c r="U71" s="298">
        <v>0.13247290047204982</v>
      </c>
    </row>
    <row r="72" spans="1:21" ht="14.4" x14ac:dyDescent="0.3">
      <c r="A72" s="43">
        <v>10</v>
      </c>
      <c r="B72" s="43"/>
      <c r="C72" s="1"/>
      <c r="D72" s="298">
        <v>0.2294007148283545</v>
      </c>
      <c r="E72" s="298">
        <v>4.67408371331944E-2</v>
      </c>
      <c r="F72" s="298">
        <v>3.9171017790739594E-2</v>
      </c>
      <c r="G72" s="298">
        <v>3.1896110289054799E-2</v>
      </c>
      <c r="H72" s="298">
        <v>9.7072760067846587E-3</v>
      </c>
      <c r="I72" s="298">
        <v>1.3760275349404955E-2</v>
      </c>
      <c r="J72" s="298">
        <v>1.2351163020258928E-2</v>
      </c>
      <c r="K72" s="298">
        <v>7.8770677291336265E-3</v>
      </c>
      <c r="L72" s="298">
        <v>6.6241460677741474E-3</v>
      </c>
      <c r="M72" s="298">
        <v>9.5446111698385379E-4</v>
      </c>
      <c r="N72" s="298">
        <v>5.9000829249238182E-3</v>
      </c>
      <c r="O72" s="298">
        <v>2.8410236973985879E-3</v>
      </c>
      <c r="P72" s="298">
        <v>3.0933034144878684E-3</v>
      </c>
      <c r="Q72" s="298">
        <v>1.7024651539385351E-3</v>
      </c>
      <c r="R72" s="298">
        <v>3.8405411483555876E-3</v>
      </c>
      <c r="S72" s="298">
        <v>3.8405411483555876E-3</v>
      </c>
      <c r="T72" s="298">
        <v>3.8405411483555876E-3</v>
      </c>
      <c r="U72" s="298">
        <v>3.8405411483555876E-3</v>
      </c>
    </row>
    <row r="73" spans="1:21" ht="14.4" x14ac:dyDescent="0.3">
      <c r="A73" s="43">
        <v>11</v>
      </c>
      <c r="B73" s="43"/>
      <c r="C73" s="1"/>
      <c r="D73" s="298">
        <v>69.048567707776243</v>
      </c>
      <c r="E73" s="298">
        <v>33.685348584817774</v>
      </c>
      <c r="F73" s="298">
        <v>15.583787301158949</v>
      </c>
      <c r="G73" s="298">
        <v>6.5636008603412694</v>
      </c>
      <c r="H73" s="298">
        <v>7.6797975872700235</v>
      </c>
      <c r="I73" s="298">
        <v>7.4570840283088478</v>
      </c>
      <c r="J73" s="298">
        <v>6.9055670232180777</v>
      </c>
      <c r="K73" s="298">
        <v>6.5341193000171698</v>
      </c>
      <c r="L73" s="298">
        <v>6.0786150094839924</v>
      </c>
      <c r="M73" s="298">
        <v>5.6151234987755405</v>
      </c>
      <c r="N73" s="298">
        <v>4.7731220793376856</v>
      </c>
      <c r="O73" s="298">
        <v>4.037747204995374</v>
      </c>
      <c r="P73" s="298">
        <v>3.4442053406397228</v>
      </c>
      <c r="Q73" s="298">
        <v>2.6571079286057731</v>
      </c>
      <c r="R73" s="298">
        <v>2.6319335627413896</v>
      </c>
      <c r="S73" s="298">
        <v>2.6319335627413896</v>
      </c>
      <c r="T73" s="298">
        <v>2.6319335627413896</v>
      </c>
      <c r="U73" s="298">
        <v>2.6319335627413896</v>
      </c>
    </row>
    <row r="74" spans="1:21" ht="14.4" x14ac:dyDescent="0.3">
      <c r="A74" s="43">
        <v>12</v>
      </c>
      <c r="B74" s="43"/>
      <c r="C74" s="1"/>
      <c r="D74" s="298">
        <v>4.3926126021925166E-2</v>
      </c>
      <c r="E74" s="298">
        <v>1.2877494467594758E-2</v>
      </c>
      <c r="F74" s="298">
        <v>4.5954157397374695E-3</v>
      </c>
      <c r="G74" s="298">
        <v>5.329225146697902E-3</v>
      </c>
      <c r="H74" s="298">
        <v>1.7455825337836627E-3</v>
      </c>
      <c r="I74" s="298">
        <v>6.1922252654432195E-3</v>
      </c>
      <c r="J74" s="298">
        <v>4.6340307760456886E-3</v>
      </c>
      <c r="K74" s="298">
        <v>1.2658928420938899E-3</v>
      </c>
      <c r="L74" s="298">
        <v>7.2345470714335765E-4</v>
      </c>
      <c r="M74" s="298">
        <v>2.8137542278655172E-3</v>
      </c>
      <c r="N74" s="298">
        <v>3.3387817150023614E-3</v>
      </c>
      <c r="O74" s="298">
        <v>7.0415228820549169E-4</v>
      </c>
      <c r="P74" s="298">
        <v>3.2866827675993235E-3</v>
      </c>
      <c r="Q74" s="298">
        <v>2.129932191298423E-3</v>
      </c>
      <c r="R74" s="298">
        <v>3.0726078205235829E-3</v>
      </c>
      <c r="S74" s="298">
        <v>3.0726078205235829E-3</v>
      </c>
      <c r="T74" s="298">
        <v>3.0726078205235829E-3</v>
      </c>
      <c r="U74" s="298">
        <v>3.0726078205235829E-3</v>
      </c>
    </row>
    <row r="75" spans="1:21" ht="14.4" x14ac:dyDescent="0.3">
      <c r="A75" s="43">
        <v>13</v>
      </c>
      <c r="B75" s="43"/>
      <c r="C75" s="1"/>
      <c r="D75" s="298">
        <v>57.626071680473594</v>
      </c>
      <c r="E75" s="298">
        <v>19.008833408591933</v>
      </c>
      <c r="F75" s="298">
        <v>6.0811074483745449</v>
      </c>
      <c r="G75" s="298">
        <v>6.4203508662030933</v>
      </c>
      <c r="H75" s="298">
        <v>4.053836065316168</v>
      </c>
      <c r="I75" s="298">
        <v>3.136813925533426</v>
      </c>
      <c r="J75" s="298">
        <v>3.2687886565984781</v>
      </c>
      <c r="K75" s="298">
        <v>3.1927019928471165</v>
      </c>
      <c r="L75" s="298">
        <v>3.1590323561450395</v>
      </c>
      <c r="M75" s="298">
        <v>3.1114405010378423</v>
      </c>
      <c r="N75" s="298">
        <v>2.9413990501469054</v>
      </c>
      <c r="O75" s="298">
        <v>2.6891381919916104</v>
      </c>
      <c r="P75" s="298">
        <v>2.4129113867682368</v>
      </c>
      <c r="Q75" s="298">
        <v>1.9019132140355048</v>
      </c>
      <c r="R75" s="298">
        <v>1.9731316672454773</v>
      </c>
      <c r="S75" s="298">
        <v>1.9731316672454773</v>
      </c>
      <c r="T75" s="298">
        <v>1.9731316672454773</v>
      </c>
      <c r="U75" s="298">
        <v>1.9731316672454773</v>
      </c>
    </row>
    <row r="76" spans="1:21" ht="14.4" x14ac:dyDescent="0.3">
      <c r="A76" s="43">
        <v>14</v>
      </c>
      <c r="B76" s="43"/>
      <c r="C76" s="1"/>
      <c r="D76" s="298">
        <v>0.20927403927484672</v>
      </c>
      <c r="E76" s="298">
        <v>5.5602611265487843E-2</v>
      </c>
      <c r="F76" s="298">
        <v>4.0150680983375708E-2</v>
      </c>
      <c r="G76" s="298">
        <v>1.1364022598705132E-2</v>
      </c>
      <c r="H76" s="298">
        <v>1.5808693433503308E-2</v>
      </c>
      <c r="I76" s="298">
        <v>1.1300571663228018E-2</v>
      </c>
      <c r="J76" s="298">
        <v>1.3986444352451872E-2</v>
      </c>
      <c r="K76" s="298">
        <v>1.3726550136797936E-2</v>
      </c>
      <c r="L76" s="298">
        <v>1.2922710779955417E-2</v>
      </c>
      <c r="M76" s="298">
        <v>6.7573395777536377E-3</v>
      </c>
      <c r="N76" s="298">
        <v>6.0541163970223889E-3</v>
      </c>
      <c r="O76" s="298">
        <v>8.8566143641728831E-4</v>
      </c>
      <c r="P76" s="298">
        <v>4.5856434142929501E-3</v>
      </c>
      <c r="Q76" s="298">
        <v>2.3769049086772155E-3</v>
      </c>
      <c r="R76" s="298">
        <v>2.1687917940923906E-3</v>
      </c>
      <c r="S76" s="298">
        <v>2.1687917940923906E-3</v>
      </c>
      <c r="T76" s="298">
        <v>2.1687917940923906E-3</v>
      </c>
      <c r="U76" s="298">
        <v>2.1687917940923906E-3</v>
      </c>
    </row>
    <row r="77" spans="1:21" ht="14.4" x14ac:dyDescent="0.3">
      <c r="A77" s="43">
        <v>15</v>
      </c>
      <c r="B77" s="43"/>
      <c r="C77" s="1"/>
      <c r="D77" s="298">
        <v>1.136851568371505</v>
      </c>
      <c r="E77" s="298">
        <v>0.23095610968918576</v>
      </c>
      <c r="F77" s="298">
        <v>0.45935010470309795</v>
      </c>
      <c r="G77" s="298">
        <v>0.33979479464125767</v>
      </c>
      <c r="H77" s="298">
        <v>0.19877874639876153</v>
      </c>
      <c r="I77" s="298">
        <v>0.6117370588990978</v>
      </c>
      <c r="J77" s="298">
        <v>0.7739736036483279</v>
      </c>
      <c r="K77" s="298">
        <v>0.47689818111624066</v>
      </c>
      <c r="L77" s="298">
        <v>0.32445444976062632</v>
      </c>
      <c r="M77" s="298">
        <v>0.24590737646040681</v>
      </c>
      <c r="N77" s="298">
        <v>0.17863761703347875</v>
      </c>
      <c r="O77" s="298">
        <v>0.15238590146764369</v>
      </c>
      <c r="P77" s="298">
        <v>0.13879587874692803</v>
      </c>
      <c r="Q77" s="298">
        <v>0.10849930149243135</v>
      </c>
      <c r="R77" s="298">
        <v>0.10438708261063094</v>
      </c>
      <c r="S77" s="298">
        <v>0.10438708261063094</v>
      </c>
      <c r="T77" s="298">
        <v>0.10438708261063094</v>
      </c>
      <c r="U77" s="298">
        <v>0.10438708261063094</v>
      </c>
    </row>
    <row r="78" spans="1:21" ht="14.4" x14ac:dyDescent="0.3">
      <c r="A78" s="43">
        <v>16</v>
      </c>
      <c r="B78" s="43"/>
      <c r="C78" s="1"/>
      <c r="D78" s="298">
        <v>0.21260480542905863</v>
      </c>
      <c r="E78" s="298">
        <v>5.5251059810874539E-2</v>
      </c>
      <c r="F78" s="298">
        <v>2.9549060045343564E-2</v>
      </c>
      <c r="G78" s="298">
        <v>1.9149260351853523E-2</v>
      </c>
      <c r="H78" s="298">
        <v>8.8894084206710914E-3</v>
      </c>
      <c r="I78" s="298">
        <v>9.8004503653837914E-3</v>
      </c>
      <c r="J78" s="298">
        <v>9.3355107602731344E-3</v>
      </c>
      <c r="K78" s="298">
        <v>1.1176506405604431E-2</v>
      </c>
      <c r="L78" s="298">
        <v>1.0797812516310075E-2</v>
      </c>
      <c r="M78" s="298">
        <v>4.9258459762198314E-3</v>
      </c>
      <c r="N78" s="298">
        <v>1.5412362332936629E-3</v>
      </c>
      <c r="O78" s="298">
        <v>1.7707278526791228E-3</v>
      </c>
      <c r="P78" s="298">
        <v>3.8905467511792919E-3</v>
      </c>
      <c r="Q78" s="298">
        <v>3.1270051788819786E-3</v>
      </c>
      <c r="R78" s="298">
        <v>2.7546885466757905E-3</v>
      </c>
      <c r="S78" s="298">
        <v>2.7546885466757905E-3</v>
      </c>
      <c r="T78" s="298">
        <v>2.7546885466757905E-3</v>
      </c>
      <c r="U78" s="298">
        <v>2.7546885466757905E-3</v>
      </c>
    </row>
    <row r="79" spans="1:21" ht="14.4" x14ac:dyDescent="0.3">
      <c r="A79" s="43">
        <v>17</v>
      </c>
      <c r="B79" s="43"/>
      <c r="C79" s="1"/>
      <c r="D79" s="299">
        <v>38.305868434141544</v>
      </c>
      <c r="E79" s="298">
        <v>5.2999903687276673</v>
      </c>
      <c r="F79" s="298">
        <v>6.2578007441416821</v>
      </c>
      <c r="G79" s="299">
        <v>3.651615692351549</v>
      </c>
      <c r="H79" s="299">
        <v>3.9361368606820331</v>
      </c>
      <c r="I79" s="299">
        <v>3.5365888642625669</v>
      </c>
      <c r="J79" s="298">
        <v>2.7954962272937816</v>
      </c>
      <c r="K79" s="298">
        <v>2.4617473384512585</v>
      </c>
      <c r="L79" s="298">
        <v>2.1281057585635259</v>
      </c>
      <c r="M79" s="298">
        <v>1.850567348179557</v>
      </c>
      <c r="N79" s="299">
        <v>1.5324828885585096</v>
      </c>
      <c r="O79" s="298">
        <v>1.4251739565426205</v>
      </c>
      <c r="P79" s="298">
        <v>1.4117622874341469</v>
      </c>
      <c r="Q79" s="298">
        <v>1.3485789449567889</v>
      </c>
      <c r="R79" s="298">
        <v>1.3516864824509252</v>
      </c>
      <c r="S79" s="298">
        <v>1.3516864824509252</v>
      </c>
      <c r="T79" s="298">
        <v>1.3516864824509252</v>
      </c>
      <c r="U79" s="298">
        <v>1.3516864824509252</v>
      </c>
    </row>
    <row r="80" spans="1:21" ht="14.4" x14ac:dyDescent="0.3">
      <c r="A80" s="43">
        <v>18</v>
      </c>
      <c r="B80" s="43"/>
      <c r="C80" s="1"/>
      <c r="D80" s="298">
        <v>6.8073317161051342E-3</v>
      </c>
      <c r="E80" s="298">
        <v>4.4855023970696963E-3</v>
      </c>
      <c r="F80" s="298">
        <v>3.7080452251308581E-3</v>
      </c>
      <c r="G80" s="298">
        <v>4.1891794258732719E-3</v>
      </c>
      <c r="H80" s="298">
        <v>2.5800652861531514E-3</v>
      </c>
      <c r="I80" s="298">
        <v>5.1323452366736095E-3</v>
      </c>
      <c r="J80" s="298">
        <v>3.2624660891922676E-3</v>
      </c>
      <c r="K80" s="298">
        <v>9.7248963017647263E-4</v>
      </c>
      <c r="L80" s="298">
        <v>5.3824967182370125E-4</v>
      </c>
      <c r="M80" s="298">
        <v>3.4207800467921257E-3</v>
      </c>
      <c r="N80" s="298">
        <v>2.3022193218101682E-3</v>
      </c>
      <c r="O80" s="298">
        <v>7.1766985210155283E-4</v>
      </c>
      <c r="P80" s="298">
        <v>1.6747979107749516E-3</v>
      </c>
      <c r="Q80" s="298">
        <v>1.0243399597807483E-3</v>
      </c>
      <c r="R80" s="298">
        <v>2.7645882744071495E-3</v>
      </c>
      <c r="S80" s="298">
        <v>2.7645882744071495E-3</v>
      </c>
      <c r="T80" s="298">
        <v>2.7645882744071495E-3</v>
      </c>
      <c r="U80" s="298">
        <v>2.7645882744071495E-3</v>
      </c>
    </row>
    <row r="81" spans="1:21" ht="14.4" x14ac:dyDescent="0.3">
      <c r="A81" s="43">
        <v>19</v>
      </c>
      <c r="B81" s="43"/>
      <c r="C81" s="1"/>
      <c r="D81" s="298">
        <v>28.12675018493254</v>
      </c>
      <c r="E81" s="298">
        <v>5.7694235730205383</v>
      </c>
      <c r="F81" s="298">
        <v>4.4923444139523241</v>
      </c>
      <c r="G81" s="298">
        <v>2.461818140179882</v>
      </c>
      <c r="H81" s="298">
        <v>1.5612033953483941</v>
      </c>
      <c r="I81" s="298">
        <v>1.435344927819425</v>
      </c>
      <c r="J81" s="298">
        <v>1.8152549557696753</v>
      </c>
      <c r="K81" s="298">
        <v>1.7533389509717254</v>
      </c>
      <c r="L81" s="298">
        <v>1.6441205577377018</v>
      </c>
      <c r="M81" s="298">
        <v>1.5015094716885002</v>
      </c>
      <c r="N81" s="298">
        <v>1.1978760529333901</v>
      </c>
      <c r="O81" s="298">
        <v>0.96493434637770215</v>
      </c>
      <c r="P81" s="298">
        <v>0.86230538911097832</v>
      </c>
      <c r="Q81" s="298">
        <v>0.87143134542122158</v>
      </c>
      <c r="R81" s="298">
        <v>0.89423887387252965</v>
      </c>
      <c r="S81" s="298">
        <v>0.89423887387252965</v>
      </c>
      <c r="T81" s="298">
        <v>0.89423887387252965</v>
      </c>
      <c r="U81" s="298">
        <v>0.89423887387252965</v>
      </c>
    </row>
    <row r="82" spans="1:21" ht="14.4" x14ac:dyDescent="0.3">
      <c r="A82" s="43">
        <v>20</v>
      </c>
      <c r="B82" s="43"/>
      <c r="C82" s="1"/>
      <c r="D82" s="298">
        <v>0.16228025606892954</v>
      </c>
      <c r="E82" s="298">
        <v>3.4304595434386999E-2</v>
      </c>
      <c r="F82" s="298">
        <v>3.603503131369204E-2</v>
      </c>
      <c r="G82" s="298">
        <v>1.3414457398225953E-2</v>
      </c>
      <c r="H82" s="298">
        <v>1.3820648138552563E-2</v>
      </c>
      <c r="I82" s="298">
        <v>1.2553645285502412E-2</v>
      </c>
      <c r="J82" s="298">
        <v>1.1519216055600136E-2</v>
      </c>
      <c r="K82" s="298">
        <v>1.2482583619361326E-2</v>
      </c>
      <c r="L82" s="298">
        <v>1.0659586926913772E-2</v>
      </c>
      <c r="M82" s="298">
        <v>3.9990621565117561E-3</v>
      </c>
      <c r="N82" s="298">
        <v>4.289924599988241E-3</v>
      </c>
      <c r="O82" s="298">
        <v>2.3631359410929234E-3</v>
      </c>
      <c r="P82" s="298">
        <v>2.0372139828744758E-3</v>
      </c>
      <c r="Q82" s="298">
        <v>2.6099379219788315E-3</v>
      </c>
      <c r="R82" s="298">
        <v>3.3164014470484933E-3</v>
      </c>
      <c r="S82" s="298">
        <v>3.3164014470484933E-3</v>
      </c>
      <c r="T82" s="298">
        <v>3.3164014470484933E-3</v>
      </c>
      <c r="U82" s="298">
        <v>3.3164014470484933E-3</v>
      </c>
    </row>
    <row r="83" spans="1:21" ht="14.4" x14ac:dyDescent="0.3">
      <c r="A83" s="43">
        <v>21</v>
      </c>
      <c r="B83" s="43"/>
      <c r="C83" s="1"/>
      <c r="D83" s="298">
        <v>0.62329316321319206</v>
      </c>
      <c r="E83" s="298">
        <v>0.38652912360520963</v>
      </c>
      <c r="F83" s="298">
        <v>0.28848587809075404</v>
      </c>
      <c r="G83" s="298">
        <v>0.2327624797312611</v>
      </c>
      <c r="H83" s="298">
        <v>0.12695962714013889</v>
      </c>
      <c r="I83" s="298">
        <v>0.43156831387325317</v>
      </c>
      <c r="J83" s="298">
        <v>0.51232861946084751</v>
      </c>
      <c r="K83" s="298">
        <v>0.33639919482821595</v>
      </c>
      <c r="L83" s="298">
        <v>0.24976274080004948</v>
      </c>
      <c r="M83" s="298">
        <v>0.20143664947276263</v>
      </c>
      <c r="N83" s="298">
        <v>0.14886071320433725</v>
      </c>
      <c r="O83" s="298">
        <v>0.11057082122039739</v>
      </c>
      <c r="P83" s="298">
        <v>8.69095877563483E-2</v>
      </c>
      <c r="Q83" s="298">
        <v>6.469840401868561E-2</v>
      </c>
      <c r="R83" s="298">
        <v>6.207334554446476E-2</v>
      </c>
      <c r="S83" s="298">
        <v>6.207334554446476E-2</v>
      </c>
      <c r="T83" s="298">
        <v>6.207334554446476E-2</v>
      </c>
      <c r="U83" s="298">
        <v>6.207334554446476E-2</v>
      </c>
    </row>
    <row r="84" spans="1:21" ht="14.4" x14ac:dyDescent="0.3">
      <c r="A84" s="43">
        <v>22</v>
      </c>
      <c r="B84" s="43"/>
      <c r="C84" s="1"/>
      <c r="D84" s="298">
        <v>0.10196628651957353</v>
      </c>
      <c r="E84" s="298">
        <v>3.8702088424270906E-2</v>
      </c>
      <c r="F84" s="298">
        <v>3.2940823141321553E-2</v>
      </c>
      <c r="G84" s="298">
        <v>1.4397088226243407E-2</v>
      </c>
      <c r="H84" s="298">
        <v>8.0433131135157904E-3</v>
      </c>
      <c r="I84" s="298">
        <v>9.1411482785596215E-3</v>
      </c>
      <c r="J84" s="298">
        <v>1.3328297513609087E-2</v>
      </c>
      <c r="K84" s="298">
        <v>9.9334339431091864E-3</v>
      </c>
      <c r="L84" s="298">
        <v>8.7776949548354632E-3</v>
      </c>
      <c r="M84" s="298">
        <v>2.8422690440152187E-3</v>
      </c>
      <c r="N84" s="298">
        <v>1.7693174251628295E-3</v>
      </c>
      <c r="O84" s="298">
        <v>2.3683965026528521E-3</v>
      </c>
      <c r="P84" s="298">
        <v>2.2687748359132434E-3</v>
      </c>
      <c r="Q84" s="298">
        <v>3.2956893394252857E-3</v>
      </c>
      <c r="R84" s="298">
        <v>3.1845733198832878E-3</v>
      </c>
      <c r="S84" s="298">
        <v>3.1845733198832878E-3</v>
      </c>
      <c r="T84" s="298">
        <v>3.1845733198832878E-3</v>
      </c>
      <c r="U84" s="298">
        <v>3.1845733198832878E-3</v>
      </c>
    </row>
    <row r="85" spans="1:21" ht="14.4" x14ac:dyDescent="0.3">
      <c r="A85" s="43">
        <v>23</v>
      </c>
      <c r="B85" s="43"/>
      <c r="C85" s="1"/>
      <c r="D85" s="298">
        <v>14.111336248333169</v>
      </c>
      <c r="E85" s="298">
        <v>4.5502762773923147</v>
      </c>
      <c r="F85" s="298">
        <v>2.8173069900787024</v>
      </c>
      <c r="G85" s="298">
        <v>2.0670952688936821</v>
      </c>
      <c r="H85" s="298">
        <v>2.2928087910650583</v>
      </c>
      <c r="I85" s="298">
        <v>1.9472020944612196</v>
      </c>
      <c r="J85" s="298">
        <v>1.3645089433593613</v>
      </c>
      <c r="K85" s="298">
        <v>1.1709027163413299</v>
      </c>
      <c r="L85" s="298">
        <v>1.0449622436221531</v>
      </c>
      <c r="M85" s="298">
        <v>0.98668776275695924</v>
      </c>
      <c r="N85" s="298">
        <v>0.97151910927620677</v>
      </c>
      <c r="O85" s="298">
        <v>0.91499109629030073</v>
      </c>
      <c r="P85" s="298">
        <v>0.81941237005377587</v>
      </c>
      <c r="Q85" s="298">
        <v>0.64151011524075341</v>
      </c>
      <c r="R85" s="298">
        <v>0.64347399672352978</v>
      </c>
      <c r="S85" s="298">
        <v>0.64347399672352978</v>
      </c>
      <c r="T85" s="298">
        <v>0.64347399672352978</v>
      </c>
      <c r="U85" s="298">
        <v>0.64347399672352978</v>
      </c>
    </row>
    <row r="86" spans="1:21" ht="14.4" x14ac:dyDescent="0.3">
      <c r="A86" s="43">
        <v>24</v>
      </c>
      <c r="B86" s="43"/>
      <c r="C86" s="1"/>
      <c r="D86" s="298">
        <v>3.6824454901743818E-2</v>
      </c>
      <c r="E86" s="298">
        <v>9.8382681602157043E-3</v>
      </c>
      <c r="F86" s="298">
        <v>2.4869442257516557E-3</v>
      </c>
      <c r="G86" s="298">
        <v>3.7823320015961076E-3</v>
      </c>
      <c r="H86" s="298">
        <v>3.0035667733548503E-3</v>
      </c>
      <c r="I86" s="298">
        <v>5.3235417328994826E-3</v>
      </c>
      <c r="J86" s="298">
        <v>5.8116700278296428E-3</v>
      </c>
      <c r="K86" s="298">
        <v>2.9855222275943743E-3</v>
      </c>
      <c r="L86" s="298">
        <v>2.3272957918215429E-3</v>
      </c>
      <c r="M86" s="298">
        <v>3.1075268606800422E-3</v>
      </c>
      <c r="N86" s="298">
        <v>1.6642059470906843E-3</v>
      </c>
      <c r="O86" s="298">
        <v>5.0465814106315395E-4</v>
      </c>
      <c r="P86" s="298">
        <v>2.4652728971896356E-3</v>
      </c>
      <c r="Q86" s="298">
        <v>5.6815989694872823E-4</v>
      </c>
      <c r="R86" s="298">
        <v>2.910084521893625E-3</v>
      </c>
      <c r="S86" s="298">
        <v>2.910084521893625E-3</v>
      </c>
      <c r="T86" s="298">
        <v>2.910084521893625E-3</v>
      </c>
      <c r="U86" s="298">
        <v>2.910084521893625E-3</v>
      </c>
    </row>
    <row r="87" spans="1:21" ht="14.4" x14ac:dyDescent="0.3">
      <c r="A87" s="43">
        <v>25</v>
      </c>
      <c r="B87" s="43"/>
      <c r="C87" s="1"/>
      <c r="D87" s="298">
        <v>9.1460847189836905</v>
      </c>
      <c r="E87" s="298">
        <v>3.3287755929835949</v>
      </c>
      <c r="F87" s="298">
        <v>2.4769082641614584</v>
      </c>
      <c r="G87" s="298">
        <v>1.4065816239828657</v>
      </c>
      <c r="H87" s="298">
        <v>0.9812541545579192</v>
      </c>
      <c r="I87" s="298">
        <v>0.87516515937476913</v>
      </c>
      <c r="J87" s="298">
        <v>1.0203047520164361</v>
      </c>
      <c r="K87" s="298">
        <v>0.89181945133108653</v>
      </c>
      <c r="L87" s="298">
        <v>0.77335390981045959</v>
      </c>
      <c r="M87" s="298">
        <v>0.680943962179267</v>
      </c>
      <c r="N87" s="298">
        <v>0.60410783726699213</v>
      </c>
      <c r="O87" s="298">
        <v>0.59625159344747769</v>
      </c>
      <c r="P87" s="298">
        <v>0.57911197721694829</v>
      </c>
      <c r="Q87" s="298">
        <v>0.47588131924725879</v>
      </c>
      <c r="R87" s="298">
        <v>0.48332856078705327</v>
      </c>
      <c r="S87" s="298">
        <v>0.48332856078705327</v>
      </c>
      <c r="T87" s="298">
        <v>0.48332856078705327</v>
      </c>
      <c r="U87" s="298">
        <v>0.48332856078705327</v>
      </c>
    </row>
    <row r="88" spans="1:21" ht="14.4" x14ac:dyDescent="0.3">
      <c r="A88" s="43">
        <v>26</v>
      </c>
      <c r="B88" s="43"/>
      <c r="C88" s="1"/>
      <c r="D88" s="298">
        <v>5.0821504219815294E-2</v>
      </c>
      <c r="E88" s="298">
        <v>5.5062549483802257E-2</v>
      </c>
      <c r="F88" s="298">
        <v>2.6569838221547654E-2</v>
      </c>
      <c r="G88" s="298">
        <v>1.7180710354120391E-2</v>
      </c>
      <c r="H88" s="298">
        <v>1.4413765296386657E-2</v>
      </c>
      <c r="I88" s="298">
        <v>1.340051166752103E-2</v>
      </c>
      <c r="J88" s="298">
        <v>1.2261667576280695E-2</v>
      </c>
      <c r="K88" s="298">
        <v>1.1494261330574136E-2</v>
      </c>
      <c r="L88" s="298">
        <v>1.1502164549246671E-2</v>
      </c>
      <c r="M88" s="298">
        <v>6.3586835670058186E-3</v>
      </c>
      <c r="N88" s="298">
        <v>5.7283366829020497E-3</v>
      </c>
      <c r="O88" s="298">
        <v>1.4156391535011382E-3</v>
      </c>
      <c r="P88" s="298">
        <v>2.35923526977449E-3</v>
      </c>
      <c r="Q88" s="298">
        <v>3.048115692564884E-3</v>
      </c>
      <c r="R88" s="298">
        <v>2.505817916151253E-3</v>
      </c>
      <c r="S88" s="298">
        <v>2.505817916151253E-3</v>
      </c>
      <c r="T88" s="298">
        <v>2.505817916151253E-3</v>
      </c>
      <c r="U88" s="298">
        <v>2.505817916151253E-3</v>
      </c>
    </row>
    <row r="89" spans="1:21" ht="14.4" x14ac:dyDescent="0.3">
      <c r="A89" s="43">
        <v>27</v>
      </c>
      <c r="B89" s="43"/>
      <c r="C89" s="1"/>
      <c r="D89" s="298">
        <v>0.21238680360962095</v>
      </c>
      <c r="E89" s="298">
        <v>0.25707405179893289</v>
      </c>
      <c r="F89" s="298">
        <v>0.16073741316951387</v>
      </c>
      <c r="G89" s="298">
        <v>0.17380962651022741</v>
      </c>
      <c r="H89" s="298">
        <v>9.1193806224074303E-2</v>
      </c>
      <c r="I89" s="298">
        <v>0.33088372878460953</v>
      </c>
      <c r="J89" s="298">
        <v>0.40809218499146371</v>
      </c>
      <c r="K89" s="298">
        <v>0.28326195110267732</v>
      </c>
      <c r="L89" s="298">
        <v>0.20563582476045428</v>
      </c>
      <c r="M89" s="298">
        <v>0.15760505021576746</v>
      </c>
      <c r="N89" s="298">
        <v>9.9377043514666238E-2</v>
      </c>
      <c r="O89" s="298">
        <v>7.5391622206023953E-2</v>
      </c>
      <c r="P89" s="298">
        <v>6.8011485955306775E-2</v>
      </c>
      <c r="Q89" s="298">
        <v>5.56664765461901E-2</v>
      </c>
      <c r="R89" s="298">
        <v>5.3354821022066533E-2</v>
      </c>
      <c r="S89" s="298">
        <v>5.3354821022066533E-2</v>
      </c>
      <c r="T89" s="298">
        <v>5.3354821022066533E-2</v>
      </c>
      <c r="U89" s="298">
        <v>5.3354821022066533E-2</v>
      </c>
    </row>
    <row r="90" spans="1:21" ht="14.4" x14ac:dyDescent="0.3">
      <c r="A90" s="43">
        <v>28</v>
      </c>
      <c r="B90" s="43"/>
      <c r="C90" s="1"/>
      <c r="D90" s="298">
        <v>1.9392625777396737E-2</v>
      </c>
      <c r="E90" s="298">
        <v>4.7102518518670457E-2</v>
      </c>
      <c r="F90" s="298">
        <v>2.8971418661601897E-2</v>
      </c>
      <c r="G90" s="298">
        <v>1.1872541264805246E-2</v>
      </c>
      <c r="H90" s="298">
        <v>6.9611130983163278E-3</v>
      </c>
      <c r="I90" s="298">
        <v>8.5362681900183323E-3</v>
      </c>
      <c r="J90" s="298">
        <v>1.2556658041302614E-2</v>
      </c>
      <c r="K90" s="298">
        <v>1.0537656791068419E-2</v>
      </c>
      <c r="L90" s="298">
        <v>9.2930775732190107E-3</v>
      </c>
      <c r="M90" s="298">
        <v>3.3090135809581808E-3</v>
      </c>
      <c r="N90" s="298">
        <v>8.4429509332862738E-4</v>
      </c>
      <c r="O90" s="298">
        <v>1.7536756837702497E-3</v>
      </c>
      <c r="P90" s="298">
        <v>1.2486380283558422E-3</v>
      </c>
      <c r="Q90" s="298">
        <v>3.2293207653354824E-3</v>
      </c>
      <c r="R90" s="298">
        <v>2.7333925969108054E-3</v>
      </c>
      <c r="S90" s="298">
        <v>2.7333925969108054E-3</v>
      </c>
      <c r="T90" s="298">
        <v>2.7333925969108054E-3</v>
      </c>
      <c r="U90" s="298">
        <v>2.7333925969108054E-3</v>
      </c>
    </row>
    <row r="91" spans="1:21" ht="14.4" x14ac:dyDescent="0.3">
      <c r="A91" s="43">
        <v>29</v>
      </c>
      <c r="B91" s="43"/>
      <c r="C91" s="1"/>
      <c r="D91" s="298">
        <v>6.5146861253923207</v>
      </c>
      <c r="E91" s="298">
        <v>2.6788137999966111</v>
      </c>
      <c r="F91" s="298">
        <v>1.6106667515221753</v>
      </c>
      <c r="G91" s="298">
        <v>1.3975423047728013</v>
      </c>
      <c r="H91" s="298">
        <v>1.3999934630363924</v>
      </c>
      <c r="I91" s="298">
        <v>1.0907850218496227</v>
      </c>
      <c r="J91" s="298">
        <v>0.75870567381450926</v>
      </c>
      <c r="K91" s="298">
        <v>0.75678843679568575</v>
      </c>
      <c r="L91" s="298">
        <v>0.75575983296320848</v>
      </c>
      <c r="M91" s="298">
        <v>0.72478506133268517</v>
      </c>
      <c r="N91" s="298">
        <v>0.61840577400138186</v>
      </c>
      <c r="O91" s="298">
        <v>0.50578743449988961</v>
      </c>
      <c r="P91" s="298">
        <v>0.46727025134098182</v>
      </c>
      <c r="Q91" s="298">
        <v>0.45386743782930422</v>
      </c>
      <c r="R91" s="298">
        <v>0.4514293951690499</v>
      </c>
      <c r="S91" s="298">
        <v>0.4514293951690499</v>
      </c>
      <c r="T91" s="298">
        <v>0.4514293951690499</v>
      </c>
      <c r="U91" s="298">
        <v>0.4514293951690499</v>
      </c>
    </row>
    <row r="92" spans="1:21" ht="14.4" x14ac:dyDescent="0.3">
      <c r="A92" s="43">
        <v>30</v>
      </c>
      <c r="B92" s="43"/>
      <c r="C92" s="1"/>
      <c r="D92" s="298">
        <v>3.4884370898550648E-2</v>
      </c>
      <c r="E92" s="298">
        <v>4.1765772225850796E-3</v>
      </c>
      <c r="F92" s="298">
        <v>3.1945642193693534E-3</v>
      </c>
      <c r="G92" s="298">
        <v>3.60287707209932E-3</v>
      </c>
      <c r="H92" s="298">
        <v>3.2920300374340902E-3</v>
      </c>
      <c r="I92" s="298">
        <v>5.0314868423076246E-3</v>
      </c>
      <c r="J92" s="298">
        <v>4.6053075814346854E-3</v>
      </c>
      <c r="K92" s="298">
        <v>3.6991571943863818E-3</v>
      </c>
      <c r="L92" s="298">
        <v>1.9564019833816105E-3</v>
      </c>
      <c r="M92" s="298">
        <v>2.8717553777810353E-3</v>
      </c>
      <c r="N92" s="298">
        <v>2.6821760992090326E-3</v>
      </c>
      <c r="O92" s="298">
        <v>5.3985110846739104E-4</v>
      </c>
      <c r="P92" s="298">
        <v>8.6189772740157076E-4</v>
      </c>
      <c r="Q92" s="298">
        <v>7.0587971191137216E-4</v>
      </c>
      <c r="R92" s="298">
        <v>2.5967183728580682E-3</v>
      </c>
      <c r="S92" s="298">
        <v>2.5967183728580682E-3</v>
      </c>
      <c r="T92" s="298">
        <v>2.5967183728580682E-3</v>
      </c>
      <c r="U92" s="298">
        <v>2.5967183728580682E-3</v>
      </c>
    </row>
    <row r="93" spans="1:21" ht="14.4" x14ac:dyDescent="0.3">
      <c r="A93" s="43">
        <v>31</v>
      </c>
      <c r="B93" s="43"/>
      <c r="C93" s="1"/>
      <c r="D93" s="298">
        <v>6.3339107327432735</v>
      </c>
      <c r="E93" s="298">
        <v>2.4858685050570775</v>
      </c>
      <c r="F93" s="298">
        <v>1.4322222537619056</v>
      </c>
      <c r="G93" s="298">
        <v>0.82280279165842463</v>
      </c>
      <c r="H93" s="298">
        <v>0.68512353629472578</v>
      </c>
      <c r="I93" s="298">
        <v>0.58112005814292844</v>
      </c>
      <c r="J93" s="298">
        <v>0.56772740214173922</v>
      </c>
      <c r="K93" s="298">
        <v>0.46221863452787271</v>
      </c>
      <c r="L93" s="298">
        <v>0.42486576546865334</v>
      </c>
      <c r="M93" s="298">
        <v>0.43056874893088998</v>
      </c>
      <c r="N93" s="298">
        <v>0.43268010175951643</v>
      </c>
      <c r="O93" s="298">
        <v>0.37617527613812002</v>
      </c>
      <c r="P93" s="298">
        <v>0.31678577460681751</v>
      </c>
      <c r="Q93" s="298">
        <v>0.30877008317967913</v>
      </c>
      <c r="R93" s="298">
        <v>0.3120658886678041</v>
      </c>
      <c r="S93" s="298">
        <v>0.3120658886678041</v>
      </c>
      <c r="T93" s="298">
        <v>0.3120658886678041</v>
      </c>
      <c r="U93" s="298">
        <v>0.3120658886678041</v>
      </c>
    </row>
    <row r="94" spans="1:21" ht="14.4" x14ac:dyDescent="0.3">
      <c r="A94" s="43">
        <v>32</v>
      </c>
      <c r="B94" s="43"/>
      <c r="C94" s="1"/>
      <c r="D94" s="298">
        <v>4.6506205535545839E-2</v>
      </c>
      <c r="E94" s="298">
        <v>3.3260518350729629E-2</v>
      </c>
      <c r="F94" s="298">
        <v>2.9586195514357663E-2</v>
      </c>
      <c r="G94" s="298">
        <v>1.9535797704362808E-2</v>
      </c>
      <c r="H94" s="298">
        <v>1.4563606306652922E-2</v>
      </c>
      <c r="I94" s="298">
        <v>1.305927336868163E-2</v>
      </c>
      <c r="J94" s="298">
        <v>8.8970610246392086E-3</v>
      </c>
      <c r="K94" s="298">
        <v>1.1901375104307985E-2</v>
      </c>
      <c r="L94" s="298">
        <v>1.1921658515740853E-2</v>
      </c>
      <c r="M94" s="298">
        <v>5.9187663071225798E-3</v>
      </c>
      <c r="N94" s="298">
        <v>4.587462629749072E-3</v>
      </c>
      <c r="O94" s="298">
        <v>1.2699646308248702E-3</v>
      </c>
      <c r="P94" s="298">
        <v>2.2444292602197963E-3</v>
      </c>
      <c r="Q94" s="298">
        <v>2.8384966763810126E-3</v>
      </c>
      <c r="R94" s="298">
        <v>2.9287371239286731E-3</v>
      </c>
      <c r="S94" s="298">
        <v>2.9287371239286731E-3</v>
      </c>
      <c r="T94" s="298">
        <v>2.9287371239286731E-3</v>
      </c>
      <c r="U94" s="298">
        <v>2.9287371239286731E-3</v>
      </c>
    </row>
    <row r="95" spans="1:21" ht="14.4" x14ac:dyDescent="0.3">
      <c r="A95" s="43">
        <v>33</v>
      </c>
      <c r="B95" s="43"/>
      <c r="C95" s="1"/>
      <c r="D95" s="298">
        <v>0.30274927892914244</v>
      </c>
      <c r="E95" s="298">
        <v>1.7216657169820748E-2</v>
      </c>
      <c r="F95" s="298">
        <v>0.12233571605865014</v>
      </c>
      <c r="G95" s="298">
        <v>0.13605621192601108</v>
      </c>
      <c r="H95" s="298">
        <v>7.0763148414675126E-2</v>
      </c>
      <c r="I95" s="298">
        <v>0.26563628264177047</v>
      </c>
      <c r="J95" s="298">
        <v>0.34165566585023771</v>
      </c>
      <c r="K95" s="298">
        <v>0.22742267911109676</v>
      </c>
      <c r="L95" s="298">
        <v>0.15381673439332844</v>
      </c>
      <c r="M95" s="298">
        <v>0.11558930646976719</v>
      </c>
      <c r="N95" s="298">
        <v>8.4151409301761251E-2</v>
      </c>
      <c r="O95" s="298">
        <v>6.7503639523961864E-2</v>
      </c>
      <c r="P95" s="298">
        <v>5.6413371607669127E-2</v>
      </c>
      <c r="Q95" s="298">
        <v>4.1647697018963321E-2</v>
      </c>
      <c r="R95" s="298">
        <v>3.9799798597555773E-2</v>
      </c>
      <c r="S95" s="298">
        <v>3.9799798597555773E-2</v>
      </c>
      <c r="T95" s="298">
        <v>3.9799798597555773E-2</v>
      </c>
      <c r="U95" s="298">
        <v>3.9799798597555773E-2</v>
      </c>
    </row>
    <row r="96" spans="1:21" ht="14.4" x14ac:dyDescent="0.3">
      <c r="A96" s="43">
        <v>34</v>
      </c>
      <c r="B96" s="43"/>
      <c r="C96" s="1"/>
      <c r="D96" s="298">
        <v>0.15658261184107439</v>
      </c>
      <c r="E96" s="298">
        <v>6.9206297258360139E-2</v>
      </c>
      <c r="F96" s="298">
        <v>0.11719738000471913</v>
      </c>
      <c r="G96" s="298">
        <v>9.0950515996728487E-2</v>
      </c>
      <c r="H96" s="298">
        <v>5.6069430808107633E-2</v>
      </c>
      <c r="I96" s="298">
        <v>0.18457651004529252</v>
      </c>
      <c r="J96" s="298">
        <v>0.21861320828195963</v>
      </c>
      <c r="K96" s="298">
        <v>0.14805460867942424</v>
      </c>
      <c r="L96" s="298">
        <v>0.10865726471480185</v>
      </c>
      <c r="M96" s="298">
        <v>8.7921961526698345E-2</v>
      </c>
      <c r="N96" s="298">
        <v>5.8256465500538285E-2</v>
      </c>
      <c r="O96" s="298">
        <v>4.4253058727944716E-2</v>
      </c>
      <c r="P96" s="298">
        <v>3.9509788445304235E-2</v>
      </c>
      <c r="Q96" s="298">
        <v>2.9542651780987427E-2</v>
      </c>
      <c r="R96" s="298">
        <v>2.8071591122090556E-2</v>
      </c>
      <c r="S96" s="298">
        <v>2.8071591122090556E-2</v>
      </c>
      <c r="T96" s="298">
        <v>2.8071591122090556E-2</v>
      </c>
      <c r="U96" s="298">
        <v>2.8071591122090556E-2</v>
      </c>
    </row>
    <row r="97" spans="1:21" ht="14.4" x14ac:dyDescent="0.3">
      <c r="A97" s="43">
        <v>35</v>
      </c>
      <c r="B97" s="43"/>
      <c r="C97" s="1"/>
      <c r="D97" s="298">
        <v>5.9029852258662023</v>
      </c>
      <c r="E97" s="298">
        <v>1.4733260588243429</v>
      </c>
      <c r="F97" s="298">
        <v>1.2803616292235322</v>
      </c>
      <c r="G97" s="298">
        <v>1.0290257258239199</v>
      </c>
      <c r="H97" s="298">
        <v>0.95078684693100002</v>
      </c>
      <c r="I97" s="298">
        <v>0.68755518357204037</v>
      </c>
      <c r="J97" s="298">
        <v>0.51648077967213191</v>
      </c>
      <c r="K97" s="298">
        <v>0.5658478637815777</v>
      </c>
      <c r="L97" s="298">
        <v>0.55172205299175037</v>
      </c>
      <c r="M97" s="298">
        <v>0.48796466250698262</v>
      </c>
      <c r="N97" s="298">
        <v>0.39029335703643686</v>
      </c>
      <c r="O97" s="298">
        <v>0.36343466624775511</v>
      </c>
      <c r="P97" s="298">
        <v>0.35166631128246867</v>
      </c>
      <c r="Q97" s="298">
        <v>0.28545240285608292</v>
      </c>
      <c r="R97" s="298">
        <v>0.28281840150514814</v>
      </c>
      <c r="S97" s="298">
        <v>0.28281840150514814</v>
      </c>
      <c r="T97" s="298">
        <v>0.28281840150514814</v>
      </c>
      <c r="U97" s="298">
        <v>0.28281840150514814</v>
      </c>
    </row>
    <row r="98" spans="1:21" ht="14.4" x14ac:dyDescent="0.3">
      <c r="A98" s="43">
        <v>36</v>
      </c>
      <c r="B98" s="43"/>
      <c r="C98" s="1"/>
      <c r="D98" s="298">
        <v>0.15658261184107439</v>
      </c>
      <c r="E98" s="298">
        <v>6.9206297258360139E-2</v>
      </c>
      <c r="F98" s="298">
        <v>0.11719738000471913</v>
      </c>
      <c r="G98" s="298">
        <v>9.0950515996728487E-2</v>
      </c>
      <c r="H98" s="298">
        <v>5.6069430808107633E-2</v>
      </c>
      <c r="I98" s="298">
        <v>0.18457651004529252</v>
      </c>
      <c r="J98" s="298">
        <v>0.21861320828195963</v>
      </c>
      <c r="K98" s="298">
        <v>0.14805460867942424</v>
      </c>
      <c r="L98" s="298">
        <v>0.10865726471480185</v>
      </c>
      <c r="M98" s="298">
        <v>8.7921961526698345E-2</v>
      </c>
      <c r="N98" s="298">
        <v>5.8256465500538285E-2</v>
      </c>
      <c r="O98" s="298">
        <v>4.4253058727944716E-2</v>
      </c>
      <c r="P98" s="298">
        <v>3.9509788445304235E-2</v>
      </c>
      <c r="Q98" s="298">
        <v>2.9542651780987427E-2</v>
      </c>
      <c r="R98" s="298">
        <v>2.8071591122090556E-2</v>
      </c>
      <c r="S98" s="298">
        <v>2.8071591122090556E-2</v>
      </c>
      <c r="T98" s="298">
        <v>2.8071591122090556E-2</v>
      </c>
      <c r="U98" s="298">
        <v>2.8071591122090556E-2</v>
      </c>
    </row>
    <row r="99" spans="1:21" ht="14.4" x14ac:dyDescent="0.3">
      <c r="A99" s="43">
        <v>37</v>
      </c>
      <c r="B99" s="43"/>
      <c r="C99" s="1"/>
      <c r="D99" s="298">
        <v>4.7242605294817244</v>
      </c>
      <c r="E99" s="298">
        <v>1.4147795985274163</v>
      </c>
      <c r="F99" s="298">
        <v>0.86563302172429457</v>
      </c>
      <c r="G99" s="298">
        <v>0.58792408051231626</v>
      </c>
      <c r="H99" s="298">
        <v>0.44571284137714501</v>
      </c>
      <c r="I99" s="298">
        <v>0.35071388358174704</v>
      </c>
      <c r="J99" s="298">
        <v>0.34192356461046053</v>
      </c>
      <c r="K99" s="298">
        <v>0.32136315457507253</v>
      </c>
      <c r="L99" s="298">
        <v>0.32334277343163409</v>
      </c>
      <c r="M99" s="298">
        <v>0.31458122808120276</v>
      </c>
      <c r="N99" s="298">
        <v>0.26038899134139826</v>
      </c>
      <c r="O99" s="298">
        <v>0.23293659142238254</v>
      </c>
      <c r="P99" s="298">
        <v>0.23495243567481122</v>
      </c>
      <c r="Q99" s="298">
        <v>0.1983093021126322</v>
      </c>
      <c r="R99" s="298">
        <v>0.19995839901366486</v>
      </c>
      <c r="S99" s="298">
        <v>0.19995839901366486</v>
      </c>
      <c r="T99" s="298">
        <v>0.19995839901366486</v>
      </c>
      <c r="U99" s="298">
        <v>0.19995839901366486</v>
      </c>
    </row>
    <row r="100" spans="1:21" ht="14.4" x14ac:dyDescent="0.3">
      <c r="A100" s="43">
        <v>38</v>
      </c>
      <c r="B100" s="43"/>
      <c r="C100" s="1"/>
      <c r="D100" s="298">
        <v>0.15658261184107439</v>
      </c>
      <c r="E100" s="298">
        <v>6.9206297258360139E-2</v>
      </c>
      <c r="F100" s="298">
        <v>0.11719738000471913</v>
      </c>
      <c r="G100" s="298">
        <v>9.0950515996728487E-2</v>
      </c>
      <c r="H100" s="298">
        <v>5.6069430808107633E-2</v>
      </c>
      <c r="I100" s="298">
        <v>0.18457651004529252</v>
      </c>
      <c r="J100" s="298">
        <v>0.21861320828195963</v>
      </c>
      <c r="K100" s="298">
        <v>0.14805460867942424</v>
      </c>
      <c r="L100" s="298">
        <v>0.10865726471480185</v>
      </c>
      <c r="M100" s="298">
        <v>8.7921961526698345E-2</v>
      </c>
      <c r="N100" s="298">
        <v>5.8256465500538285E-2</v>
      </c>
      <c r="O100" s="298">
        <v>4.4253058727944716E-2</v>
      </c>
      <c r="P100" s="298">
        <v>3.9509788445304235E-2</v>
      </c>
      <c r="Q100" s="298">
        <v>2.9542651780987427E-2</v>
      </c>
      <c r="R100" s="298">
        <v>2.8071591122090556E-2</v>
      </c>
      <c r="S100" s="298">
        <v>2.8071591122090556E-2</v>
      </c>
      <c r="T100" s="298">
        <v>2.8071591122090556E-2</v>
      </c>
      <c r="U100" s="298">
        <v>2.8071591122090556E-2</v>
      </c>
    </row>
    <row r="101" spans="1:21" ht="14.4" x14ac:dyDescent="0.3">
      <c r="A101" s="43">
        <v>39</v>
      </c>
      <c r="B101" s="43"/>
      <c r="C101" s="1"/>
      <c r="D101" s="298">
        <v>0.2079850899943797</v>
      </c>
      <c r="E101" s="298">
        <v>0.13041647508011303</v>
      </c>
      <c r="F101" s="298">
        <v>0.12947509110634475</v>
      </c>
      <c r="G101" s="298">
        <v>0.11009404781577684</v>
      </c>
      <c r="H101" s="298">
        <v>6.014929527512837E-2</v>
      </c>
      <c r="I101" s="298">
        <v>0.21949671273146126</v>
      </c>
      <c r="J101" s="298">
        <v>0.27640701454444089</v>
      </c>
      <c r="K101" s="298">
        <v>0.17818419975534588</v>
      </c>
      <c r="L101" s="298">
        <v>0.12256174642203793</v>
      </c>
      <c r="M101" s="298">
        <v>9.8387203409769475E-2</v>
      </c>
      <c r="N101" s="298">
        <v>7.1958024598108364E-2</v>
      </c>
      <c r="O101" s="298">
        <v>5.1366620792552581E-2</v>
      </c>
      <c r="P101" s="298">
        <v>4.2850088405828553E-2</v>
      </c>
      <c r="Q101" s="298">
        <v>3.5922322150466021E-2</v>
      </c>
      <c r="R101" s="298">
        <v>3.4556391879303032E-2</v>
      </c>
      <c r="S101" s="298">
        <v>3.4556391879303032E-2</v>
      </c>
      <c r="T101" s="298">
        <v>3.4556391879303032E-2</v>
      </c>
      <c r="U101" s="298">
        <v>3.4556391879303032E-2</v>
      </c>
    </row>
    <row r="102" spans="1:21" ht="14.4" x14ac:dyDescent="0.3">
      <c r="A102" s="43">
        <v>40</v>
      </c>
      <c r="B102" s="43"/>
      <c r="C102" s="1"/>
      <c r="D102" s="298">
        <v>0.15658261184107439</v>
      </c>
      <c r="E102" s="298">
        <v>6.9206297258360139E-2</v>
      </c>
      <c r="F102" s="298">
        <v>0.11719738000471913</v>
      </c>
      <c r="G102" s="298">
        <v>9.0950515996728487E-2</v>
      </c>
      <c r="H102" s="298">
        <v>5.6069430808107633E-2</v>
      </c>
      <c r="I102" s="298">
        <v>0.18457651004529252</v>
      </c>
      <c r="J102" s="298">
        <v>0.21861320828195963</v>
      </c>
      <c r="K102" s="298">
        <v>0.14805460867942424</v>
      </c>
      <c r="L102" s="298">
        <v>0.10865726471480185</v>
      </c>
      <c r="M102" s="298">
        <v>8.7921961526698345E-2</v>
      </c>
      <c r="N102" s="298">
        <v>5.8256465500538285E-2</v>
      </c>
      <c r="O102" s="298">
        <v>4.4253058727944716E-2</v>
      </c>
      <c r="P102" s="298">
        <v>3.9509788445304235E-2</v>
      </c>
      <c r="Q102" s="298">
        <v>2.9542651780987427E-2</v>
      </c>
      <c r="R102" s="298">
        <v>2.8071591122090556E-2</v>
      </c>
      <c r="S102" s="298">
        <v>2.8071591122090556E-2</v>
      </c>
      <c r="T102" s="298">
        <v>2.8071591122090556E-2</v>
      </c>
      <c r="U102" s="298">
        <v>2.8071591122090556E-2</v>
      </c>
    </row>
    <row r="103" spans="1:21" ht="14.4" x14ac:dyDescent="0.3">
      <c r="A103" s="43">
        <v>41</v>
      </c>
      <c r="B103" s="43"/>
      <c r="C103" s="1"/>
      <c r="D103" s="298">
        <v>2.9593523720748518</v>
      </c>
      <c r="E103" s="298">
        <v>1.3960448536050045</v>
      </c>
      <c r="F103" s="298">
        <v>0.9788469484846104</v>
      </c>
      <c r="G103" s="298">
        <v>0.76626902234982497</v>
      </c>
      <c r="H103" s="298">
        <v>0.64986432358583057</v>
      </c>
      <c r="I103" s="298">
        <v>0.49479101470748305</v>
      </c>
      <c r="J103" s="298">
        <v>0.39951328972932304</v>
      </c>
      <c r="K103" s="298">
        <v>0.41594580564321404</v>
      </c>
      <c r="L103" s="298">
        <v>0.37579029347140652</v>
      </c>
      <c r="M103" s="298">
        <v>0.32440122806902955</v>
      </c>
      <c r="N103" s="298">
        <v>0.30529874652047795</v>
      </c>
      <c r="O103" s="298">
        <v>0.272856325769609</v>
      </c>
      <c r="P103" s="298">
        <v>0.23528249165808171</v>
      </c>
      <c r="Q103" s="298">
        <v>0.21930268062364178</v>
      </c>
      <c r="R103" s="298">
        <v>0.21942223358685053</v>
      </c>
      <c r="S103" s="298">
        <v>0.21942223358685053</v>
      </c>
      <c r="T103" s="298">
        <v>0.21942223358685053</v>
      </c>
      <c r="U103" s="298">
        <v>0.21942223358685053</v>
      </c>
    </row>
    <row r="104" spans="1:21" ht="14.4" x14ac:dyDescent="0.3">
      <c r="A104" s="43">
        <v>42</v>
      </c>
      <c r="B104" s="43"/>
      <c r="C104" s="1"/>
      <c r="D104" s="298">
        <v>0.15658261184107439</v>
      </c>
      <c r="E104" s="298">
        <v>6.9206297258360139E-2</v>
      </c>
      <c r="F104" s="298">
        <v>0.11719738000471913</v>
      </c>
      <c r="G104" s="298">
        <v>9.0950515996728487E-2</v>
      </c>
      <c r="H104" s="298">
        <v>5.6069430808107633E-2</v>
      </c>
      <c r="I104" s="298">
        <v>0.18457651004529252</v>
      </c>
      <c r="J104" s="298">
        <v>0.21861320828195963</v>
      </c>
      <c r="K104" s="298">
        <v>0.14805460867942424</v>
      </c>
      <c r="L104" s="298">
        <v>0.10865726471480185</v>
      </c>
      <c r="M104" s="298">
        <v>8.7921961526698345E-2</v>
      </c>
      <c r="N104" s="298">
        <v>5.8256465500538285E-2</v>
      </c>
      <c r="O104" s="298">
        <v>4.4253058727944716E-2</v>
      </c>
      <c r="P104" s="298">
        <v>3.9509788445304235E-2</v>
      </c>
      <c r="Q104" s="298">
        <v>2.9542651780987427E-2</v>
      </c>
      <c r="R104" s="298">
        <v>2.8071591122090556E-2</v>
      </c>
      <c r="S104" s="298">
        <v>2.8071591122090556E-2</v>
      </c>
      <c r="T104" s="298">
        <v>2.8071591122090556E-2</v>
      </c>
      <c r="U104" s="298">
        <v>2.8071591122090556E-2</v>
      </c>
    </row>
    <row r="105" spans="1:21" ht="14.4" x14ac:dyDescent="0.3">
      <c r="A105" s="43">
        <v>43</v>
      </c>
      <c r="B105" s="43"/>
      <c r="C105" s="1"/>
      <c r="D105" s="298">
        <v>2.2178560512821952</v>
      </c>
      <c r="E105" s="298">
        <v>1.1905972320783262</v>
      </c>
      <c r="F105" s="298">
        <v>0.75615175660327605</v>
      </c>
      <c r="G105" s="298">
        <v>0.45362551647456517</v>
      </c>
      <c r="H105" s="298">
        <v>0.28528173727691464</v>
      </c>
      <c r="I105" s="298">
        <v>0.21779752656057286</v>
      </c>
      <c r="J105" s="298">
        <v>0.25538951981730396</v>
      </c>
      <c r="K105" s="298">
        <v>0.24818871965708805</v>
      </c>
      <c r="L105" s="298">
        <v>0.22308863199724832</v>
      </c>
      <c r="M105" s="298">
        <v>0.19779080449305989</v>
      </c>
      <c r="N105" s="298">
        <v>0.1877023014843526</v>
      </c>
      <c r="O105" s="298">
        <v>0.18024721970812474</v>
      </c>
      <c r="P105" s="298">
        <v>0.14969356494618877</v>
      </c>
      <c r="Q105" s="298">
        <v>0.15402172112964774</v>
      </c>
      <c r="R105" s="298">
        <v>0.14788153997371078</v>
      </c>
      <c r="S105" s="298">
        <v>0.14788153997371078</v>
      </c>
      <c r="T105" s="298">
        <v>0.14788153997371078</v>
      </c>
      <c r="U105" s="298">
        <v>0.14788153997371078</v>
      </c>
    </row>
    <row r="106" spans="1:21" ht="14.4" x14ac:dyDescent="0.3">
      <c r="A106" s="43">
        <v>44</v>
      </c>
      <c r="B106" s="43"/>
      <c r="C106" s="1"/>
      <c r="D106" s="298">
        <v>0.15658261184107439</v>
      </c>
      <c r="E106" s="298">
        <v>6.9206297258360139E-2</v>
      </c>
      <c r="F106" s="298">
        <v>0.11719738000471913</v>
      </c>
      <c r="G106" s="298">
        <v>9.0950515996728487E-2</v>
      </c>
      <c r="H106" s="298">
        <v>5.6069430808107633E-2</v>
      </c>
      <c r="I106" s="298">
        <v>0.18457651004529252</v>
      </c>
      <c r="J106" s="298">
        <v>0.21861320828195963</v>
      </c>
      <c r="K106" s="298">
        <v>0.14805460867942424</v>
      </c>
      <c r="L106" s="298">
        <v>0.10865726471480185</v>
      </c>
      <c r="M106" s="298">
        <v>8.7921961526698345E-2</v>
      </c>
      <c r="N106" s="298">
        <v>5.8256465500538285E-2</v>
      </c>
      <c r="O106" s="298">
        <v>4.4253058727944716E-2</v>
      </c>
      <c r="P106" s="298">
        <v>3.9509788445304235E-2</v>
      </c>
      <c r="Q106" s="298">
        <v>2.9542651780987427E-2</v>
      </c>
      <c r="R106" s="298">
        <v>2.8071591122090556E-2</v>
      </c>
      <c r="S106" s="298">
        <v>2.8071591122090556E-2</v>
      </c>
      <c r="T106" s="298">
        <v>2.8071591122090556E-2</v>
      </c>
      <c r="U106" s="298">
        <v>2.8071591122090556E-2</v>
      </c>
    </row>
    <row r="107" spans="1:21" ht="14.4" x14ac:dyDescent="0.3">
      <c r="A107" s="43">
        <v>45</v>
      </c>
      <c r="B107" s="43"/>
      <c r="C107" s="1"/>
      <c r="D107" s="298">
        <v>0.15674381381219379</v>
      </c>
      <c r="E107" s="298">
        <v>6.9135515452953725E-2</v>
      </c>
      <c r="F107" s="298">
        <v>0.11721931861181524</v>
      </c>
      <c r="G107" s="298">
        <v>9.0976276916425139E-2</v>
      </c>
      <c r="H107" s="298">
        <v>5.5974795488511517E-2</v>
      </c>
      <c r="I107" s="298">
        <v>0.18455139999068912</v>
      </c>
      <c r="J107" s="298">
        <v>0.21866515563030009</v>
      </c>
      <c r="K107" s="298">
        <v>0.14808361462956454</v>
      </c>
      <c r="L107" s="298">
        <v>0.10867252849450271</v>
      </c>
      <c r="M107" s="298">
        <v>8.7932880027034033E-2</v>
      </c>
      <c r="N107" s="298">
        <v>5.8261619608528936E-2</v>
      </c>
      <c r="O107" s="298">
        <v>4.4254803859095013E-2</v>
      </c>
      <c r="P107" s="298">
        <v>3.9511622355493263E-2</v>
      </c>
      <c r="Q107" s="298">
        <v>2.9543012509050892E-2</v>
      </c>
      <c r="R107" s="298">
        <v>2.8071590865564936E-2</v>
      </c>
      <c r="S107" s="298">
        <v>2.8071590865564936E-2</v>
      </c>
      <c r="T107" s="298">
        <v>2.8071590865564936E-2</v>
      </c>
      <c r="U107" s="298">
        <v>2.8071590865564936E-2</v>
      </c>
    </row>
    <row r="108" spans="1:21" ht="14.4" x14ac:dyDescent="0.3">
      <c r="A108" s="43">
        <v>46</v>
      </c>
      <c r="B108" s="43"/>
      <c r="C108" s="1"/>
      <c r="D108" s="298">
        <v>0.15658261184107439</v>
      </c>
      <c r="E108" s="298">
        <v>6.9206297258360139E-2</v>
      </c>
      <c r="F108" s="298">
        <v>0.11719738000471913</v>
      </c>
      <c r="G108" s="298">
        <v>9.0950515996728487E-2</v>
      </c>
      <c r="H108" s="298">
        <v>5.6069430808107633E-2</v>
      </c>
      <c r="I108" s="298">
        <v>0.18457651004529252</v>
      </c>
      <c r="J108" s="298">
        <v>0.21861320828195963</v>
      </c>
      <c r="K108" s="298">
        <v>0.14805460867942424</v>
      </c>
      <c r="L108" s="298">
        <v>0.10865726471480185</v>
      </c>
      <c r="M108" s="298">
        <v>8.7921961526698345E-2</v>
      </c>
      <c r="N108" s="298">
        <v>5.8256465500538285E-2</v>
      </c>
      <c r="O108" s="298">
        <v>4.4253058727944716E-2</v>
      </c>
      <c r="P108" s="298">
        <v>3.9509788445304235E-2</v>
      </c>
      <c r="Q108" s="298">
        <v>2.9542651780987427E-2</v>
      </c>
      <c r="R108" s="298">
        <v>2.8071591122090556E-2</v>
      </c>
      <c r="S108" s="298">
        <v>2.8071591122090556E-2</v>
      </c>
      <c r="T108" s="298">
        <v>2.8071591122090556E-2</v>
      </c>
      <c r="U108" s="298">
        <v>2.8071591122090556E-2</v>
      </c>
    </row>
    <row r="109" spans="1:21" ht="14.4" x14ac:dyDescent="0.3">
      <c r="A109" s="43">
        <v>47</v>
      </c>
      <c r="B109" s="43"/>
      <c r="C109" s="1"/>
      <c r="D109" s="298">
        <v>2.3268630691236321</v>
      </c>
      <c r="E109" s="298">
        <v>0.78641478977548207</v>
      </c>
      <c r="F109" s="298">
        <v>0.65683719239534155</v>
      </c>
      <c r="G109" s="298">
        <v>0.58143321676267457</v>
      </c>
      <c r="H109" s="298">
        <v>0.44928960665019158</v>
      </c>
      <c r="I109" s="298">
        <v>0.41294151992551731</v>
      </c>
      <c r="J109" s="298">
        <v>0.2940568330031525</v>
      </c>
      <c r="K109" s="298">
        <v>0.2786885915405366</v>
      </c>
      <c r="L109" s="298">
        <v>0.26697263616116279</v>
      </c>
      <c r="M109" s="298">
        <v>0.26064585390490097</v>
      </c>
      <c r="N109" s="298">
        <v>0.2367936036530196</v>
      </c>
      <c r="O109" s="298">
        <v>0.19038468562778788</v>
      </c>
      <c r="P109" s="298">
        <v>0.18456070692514012</v>
      </c>
      <c r="Q109" s="298">
        <v>0.16108516476637483</v>
      </c>
      <c r="R109" s="298">
        <v>0.15522073313539117</v>
      </c>
      <c r="S109" s="298">
        <v>0.15522073313539117</v>
      </c>
      <c r="T109" s="298">
        <v>0.15522073313539117</v>
      </c>
      <c r="U109" s="298">
        <v>0.15522073313539117</v>
      </c>
    </row>
    <row r="110" spans="1:21" ht="14.4" x14ac:dyDescent="0.3">
      <c r="A110" s="43">
        <v>48</v>
      </c>
      <c r="B110" s="43"/>
      <c r="C110" s="1"/>
      <c r="D110" s="298">
        <v>0.15658261184107439</v>
      </c>
      <c r="E110" s="298">
        <v>6.9206297258360139E-2</v>
      </c>
      <c r="F110" s="298">
        <v>0.11719738000471913</v>
      </c>
      <c r="G110" s="298">
        <v>9.0950515996728487E-2</v>
      </c>
      <c r="H110" s="298">
        <v>5.6069430808107633E-2</v>
      </c>
      <c r="I110" s="298">
        <v>0.18457651004529252</v>
      </c>
      <c r="J110" s="298">
        <v>0.21861320828195963</v>
      </c>
      <c r="K110" s="298">
        <v>0.14805460867942424</v>
      </c>
      <c r="L110" s="298">
        <v>0.10865726471480185</v>
      </c>
      <c r="M110" s="298">
        <v>8.7921961526698345E-2</v>
      </c>
      <c r="N110" s="298">
        <v>5.8256465500538285E-2</v>
      </c>
      <c r="O110" s="298">
        <v>4.4253058727944716E-2</v>
      </c>
      <c r="P110" s="298">
        <v>3.9509788445304235E-2</v>
      </c>
      <c r="Q110" s="298">
        <v>2.9542651780987427E-2</v>
      </c>
      <c r="R110" s="298">
        <v>2.8071591122090556E-2</v>
      </c>
      <c r="S110" s="298">
        <v>2.8071591122090556E-2</v>
      </c>
      <c r="T110" s="298">
        <v>2.8071591122090556E-2</v>
      </c>
      <c r="U110" s="298">
        <v>2.8071591122090556E-2</v>
      </c>
    </row>
    <row r="111" spans="1:21" ht="14.4" x14ac:dyDescent="0.3">
      <c r="A111" s="43">
        <v>49</v>
      </c>
      <c r="B111" s="43"/>
      <c r="C111" s="1"/>
      <c r="D111" s="298">
        <v>2.222090686942058</v>
      </c>
      <c r="E111" s="298">
        <v>0.8231320290067401</v>
      </c>
      <c r="F111" s="298">
        <v>0.54372728367538525</v>
      </c>
      <c r="G111" s="298">
        <v>0.33388586731319231</v>
      </c>
      <c r="H111" s="298">
        <v>0.20472977887589594</v>
      </c>
      <c r="I111" s="298">
        <v>0.16067909526322774</v>
      </c>
      <c r="J111" s="298">
        <v>0.19635848943192444</v>
      </c>
      <c r="K111" s="298">
        <v>0.18022284651166184</v>
      </c>
      <c r="L111" s="298">
        <v>0.15241194609444156</v>
      </c>
      <c r="M111" s="298">
        <v>0.14568078669873447</v>
      </c>
      <c r="N111" s="298">
        <v>0.14316623416465049</v>
      </c>
      <c r="O111" s="298">
        <v>0.11820986355275069</v>
      </c>
      <c r="P111" s="298">
        <v>0.11324661442841535</v>
      </c>
      <c r="Q111" s="298">
        <v>0.10591950094820782</v>
      </c>
      <c r="R111" s="298">
        <v>0.10181373046970461</v>
      </c>
      <c r="S111" s="298">
        <v>0.10181373046970461</v>
      </c>
      <c r="T111" s="298">
        <v>0.10181373046970461</v>
      </c>
      <c r="U111" s="298">
        <v>0.10181373046970461</v>
      </c>
    </row>
    <row r="112" spans="1:21" ht="14.4" x14ac:dyDescent="0.3">
      <c r="A112" s="43">
        <v>50</v>
      </c>
      <c r="B112" s="43"/>
      <c r="C112" s="1"/>
      <c r="D112" s="298">
        <v>0.15658261184107439</v>
      </c>
      <c r="E112" s="298">
        <v>6.9206297258360139E-2</v>
      </c>
      <c r="F112" s="298">
        <v>0.11719738000471913</v>
      </c>
      <c r="G112" s="298">
        <v>9.0950515996728487E-2</v>
      </c>
      <c r="H112" s="298">
        <v>5.6069430808107633E-2</v>
      </c>
      <c r="I112" s="298">
        <v>0.18457651004529252</v>
      </c>
      <c r="J112" s="298">
        <v>0.21861320828195963</v>
      </c>
      <c r="K112" s="298">
        <v>0.14805460867942424</v>
      </c>
      <c r="L112" s="298">
        <v>0.10865726471480185</v>
      </c>
      <c r="M112" s="298">
        <v>8.7921961526698345E-2</v>
      </c>
      <c r="N112" s="298">
        <v>5.8256465500538285E-2</v>
      </c>
      <c r="O112" s="298">
        <v>4.4253058727944716E-2</v>
      </c>
      <c r="P112" s="298">
        <v>3.9509788445304235E-2</v>
      </c>
      <c r="Q112" s="298">
        <v>2.9542651780987427E-2</v>
      </c>
      <c r="R112" s="298">
        <v>2.8071591122090556E-2</v>
      </c>
      <c r="S112" s="298">
        <v>2.8071591122090556E-2</v>
      </c>
      <c r="T112" s="298">
        <v>2.8071591122090556E-2</v>
      </c>
      <c r="U112" s="298">
        <v>2.8071591122090556E-2</v>
      </c>
    </row>
    <row r="113" spans="2:21" x14ac:dyDescent="0.25">
      <c r="D113" s="51"/>
    </row>
    <row r="114" spans="2:21" x14ac:dyDescent="0.25">
      <c r="B114" s="26" t="s">
        <v>5</v>
      </c>
      <c r="D114" s="32">
        <f t="shared" ref="D114:U114" si="7">SQRT(SUMSQ(D64:D112))</f>
        <v>163.93774717643851</v>
      </c>
      <c r="E114" s="32">
        <f t="shared" si="7"/>
        <v>113.48802501155089</v>
      </c>
      <c r="F114" s="32">
        <f t="shared" si="7"/>
        <v>92.201479834948017</v>
      </c>
      <c r="G114" s="32">
        <f t="shared" si="7"/>
        <v>70.914070764570482</v>
      </c>
      <c r="H114" s="32">
        <f t="shared" si="7"/>
        <v>54.750054571794223</v>
      </c>
      <c r="I114" s="32">
        <f t="shared" si="7"/>
        <v>45.409107972180678</v>
      </c>
      <c r="J114" s="32">
        <f t="shared" si="7"/>
        <v>40.452846599409661</v>
      </c>
      <c r="K114" s="32">
        <f t="shared" si="7"/>
        <v>36.567604373048553</v>
      </c>
      <c r="L114" s="32">
        <f t="shared" si="7"/>
        <v>33.722497172696237</v>
      </c>
      <c r="M114" s="32">
        <f t="shared" si="7"/>
        <v>31.537820676686238</v>
      </c>
      <c r="N114" s="32">
        <f t="shared" si="7"/>
        <v>28.353599859458789</v>
      </c>
      <c r="O114" s="32">
        <f t="shared" si="7"/>
        <v>26.003967172553079</v>
      </c>
      <c r="P114" s="32">
        <f t="shared" si="7"/>
        <v>24.160245237926446</v>
      </c>
      <c r="Q114" s="32">
        <f t="shared" si="7"/>
        <v>21.249690073067327</v>
      </c>
      <c r="R114" s="32">
        <f t="shared" si="7"/>
        <v>21.247242746791578</v>
      </c>
      <c r="S114" s="32">
        <f t="shared" si="7"/>
        <v>21.247242746791578</v>
      </c>
      <c r="T114" s="32">
        <f t="shared" si="7"/>
        <v>21.247242746791578</v>
      </c>
      <c r="U114" s="32">
        <f t="shared" si="7"/>
        <v>21.247242746791578</v>
      </c>
    </row>
    <row r="116" spans="2:21" x14ac:dyDescent="0.25">
      <c r="D116" s="32"/>
      <c r="E116" s="32"/>
      <c r="F116" s="32"/>
      <c r="G116" s="32"/>
      <c r="H116" s="32"/>
      <c r="I116" s="32"/>
    </row>
    <row r="118" spans="2:21" x14ac:dyDescent="0.25">
      <c r="D118" s="32"/>
      <c r="E118" s="32"/>
      <c r="F118" s="32"/>
      <c r="G118" s="32"/>
      <c r="H118" s="32"/>
      <c r="I118" s="32"/>
    </row>
  </sheetData>
  <pageMargins left="0.75" right="0.75" top="1" bottom="1" header="0.5" footer="0.5"/>
  <pageSetup scale="86" fitToWidth="2" fitToHeight="2" orientation="portrait" r:id="rId1"/>
  <headerFooter alignWithMargins="0">
    <oddHeader>&amp;R&amp;D
&amp;T
rh</oddHeader>
    <oddFooter>&amp;L&amp;F
&amp;A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U118"/>
  <sheetViews>
    <sheetView workbookViewId="0"/>
  </sheetViews>
  <sheetFormatPr defaultRowHeight="13.2" x14ac:dyDescent="0.25"/>
  <cols>
    <col min="1" max="6" width="9.109375" style="26"/>
    <col min="7" max="7" width="9.109375" style="26" customWidth="1"/>
    <col min="8" max="8" width="10.6640625" style="26" customWidth="1"/>
    <col min="9" max="262" width="9.109375" style="26"/>
    <col min="263" max="263" width="9.5546875" style="26" bestFit="1" customWidth="1"/>
    <col min="264" max="264" width="10.6640625" style="26" customWidth="1"/>
    <col min="265" max="518" width="9.109375" style="26"/>
    <col min="519" max="519" width="9.5546875" style="26" bestFit="1" customWidth="1"/>
    <col min="520" max="520" width="10.6640625" style="26" customWidth="1"/>
    <col min="521" max="774" width="9.109375" style="26"/>
    <col min="775" max="775" width="9.5546875" style="26" bestFit="1" customWidth="1"/>
    <col min="776" max="776" width="10.6640625" style="26" customWidth="1"/>
    <col min="777" max="1030" width="9.109375" style="26"/>
    <col min="1031" max="1031" width="9.5546875" style="26" bestFit="1" customWidth="1"/>
    <col min="1032" max="1032" width="10.6640625" style="26" customWidth="1"/>
    <col min="1033" max="1286" width="9.109375" style="26"/>
    <col min="1287" max="1287" width="9.5546875" style="26" bestFit="1" customWidth="1"/>
    <col min="1288" max="1288" width="10.6640625" style="26" customWidth="1"/>
    <col min="1289" max="1542" width="9.109375" style="26"/>
    <col min="1543" max="1543" width="9.5546875" style="26" bestFit="1" customWidth="1"/>
    <col min="1544" max="1544" width="10.6640625" style="26" customWidth="1"/>
    <col min="1545" max="1798" width="9.109375" style="26"/>
    <col min="1799" max="1799" width="9.5546875" style="26" bestFit="1" customWidth="1"/>
    <col min="1800" max="1800" width="10.6640625" style="26" customWidth="1"/>
    <col min="1801" max="2054" width="9.109375" style="26"/>
    <col min="2055" max="2055" width="9.5546875" style="26" bestFit="1" customWidth="1"/>
    <col min="2056" max="2056" width="10.6640625" style="26" customWidth="1"/>
    <col min="2057" max="2310" width="9.109375" style="26"/>
    <col min="2311" max="2311" width="9.5546875" style="26" bestFit="1" customWidth="1"/>
    <col min="2312" max="2312" width="10.6640625" style="26" customWidth="1"/>
    <col min="2313" max="2566" width="9.109375" style="26"/>
    <col min="2567" max="2567" width="9.5546875" style="26" bestFit="1" customWidth="1"/>
    <col min="2568" max="2568" width="10.6640625" style="26" customWidth="1"/>
    <col min="2569" max="2822" width="9.109375" style="26"/>
    <col min="2823" max="2823" width="9.5546875" style="26" bestFit="1" customWidth="1"/>
    <col min="2824" max="2824" width="10.6640625" style="26" customWidth="1"/>
    <col min="2825" max="3078" width="9.109375" style="26"/>
    <col min="3079" max="3079" width="9.5546875" style="26" bestFit="1" customWidth="1"/>
    <col min="3080" max="3080" width="10.6640625" style="26" customWidth="1"/>
    <col min="3081" max="3334" width="9.109375" style="26"/>
    <col min="3335" max="3335" width="9.5546875" style="26" bestFit="1" customWidth="1"/>
    <col min="3336" max="3336" width="10.6640625" style="26" customWidth="1"/>
    <col min="3337" max="3590" width="9.109375" style="26"/>
    <col min="3591" max="3591" width="9.5546875" style="26" bestFit="1" customWidth="1"/>
    <col min="3592" max="3592" width="10.6640625" style="26" customWidth="1"/>
    <col min="3593" max="3846" width="9.109375" style="26"/>
    <col min="3847" max="3847" width="9.5546875" style="26" bestFit="1" customWidth="1"/>
    <col min="3848" max="3848" width="10.6640625" style="26" customWidth="1"/>
    <col min="3849" max="4102" width="9.109375" style="26"/>
    <col min="4103" max="4103" width="9.5546875" style="26" bestFit="1" customWidth="1"/>
    <col min="4104" max="4104" width="10.6640625" style="26" customWidth="1"/>
    <col min="4105" max="4358" width="9.109375" style="26"/>
    <col min="4359" max="4359" width="9.5546875" style="26" bestFit="1" customWidth="1"/>
    <col min="4360" max="4360" width="10.6640625" style="26" customWidth="1"/>
    <col min="4361" max="4614" width="9.109375" style="26"/>
    <col min="4615" max="4615" width="9.5546875" style="26" bestFit="1" customWidth="1"/>
    <col min="4616" max="4616" width="10.6640625" style="26" customWidth="1"/>
    <col min="4617" max="4870" width="9.109375" style="26"/>
    <col min="4871" max="4871" width="9.5546875" style="26" bestFit="1" customWidth="1"/>
    <col min="4872" max="4872" width="10.6640625" style="26" customWidth="1"/>
    <col min="4873" max="5126" width="9.109375" style="26"/>
    <col min="5127" max="5127" width="9.5546875" style="26" bestFit="1" customWidth="1"/>
    <col min="5128" max="5128" width="10.6640625" style="26" customWidth="1"/>
    <col min="5129" max="5382" width="9.109375" style="26"/>
    <col min="5383" max="5383" width="9.5546875" style="26" bestFit="1" customWidth="1"/>
    <col min="5384" max="5384" width="10.6640625" style="26" customWidth="1"/>
    <col min="5385" max="5638" width="9.109375" style="26"/>
    <col min="5639" max="5639" width="9.5546875" style="26" bestFit="1" customWidth="1"/>
    <col min="5640" max="5640" width="10.6640625" style="26" customWidth="1"/>
    <col min="5641" max="5894" width="9.109375" style="26"/>
    <col min="5895" max="5895" width="9.5546875" style="26" bestFit="1" customWidth="1"/>
    <col min="5896" max="5896" width="10.6640625" style="26" customWidth="1"/>
    <col min="5897" max="6150" width="9.109375" style="26"/>
    <col min="6151" max="6151" width="9.5546875" style="26" bestFit="1" customWidth="1"/>
    <col min="6152" max="6152" width="10.6640625" style="26" customWidth="1"/>
    <col min="6153" max="6406" width="9.109375" style="26"/>
    <col min="6407" max="6407" width="9.5546875" style="26" bestFit="1" customWidth="1"/>
    <col min="6408" max="6408" width="10.6640625" style="26" customWidth="1"/>
    <col min="6409" max="6662" width="9.109375" style="26"/>
    <col min="6663" max="6663" width="9.5546875" style="26" bestFit="1" customWidth="1"/>
    <col min="6664" max="6664" width="10.6640625" style="26" customWidth="1"/>
    <col min="6665" max="6918" width="9.109375" style="26"/>
    <col min="6919" max="6919" width="9.5546875" style="26" bestFit="1" customWidth="1"/>
    <col min="6920" max="6920" width="10.6640625" style="26" customWidth="1"/>
    <col min="6921" max="7174" width="9.109375" style="26"/>
    <col min="7175" max="7175" width="9.5546875" style="26" bestFit="1" customWidth="1"/>
    <col min="7176" max="7176" width="10.6640625" style="26" customWidth="1"/>
    <col min="7177" max="7430" width="9.109375" style="26"/>
    <col min="7431" max="7431" width="9.5546875" style="26" bestFit="1" customWidth="1"/>
    <col min="7432" max="7432" width="10.6640625" style="26" customWidth="1"/>
    <col min="7433" max="7686" width="9.109375" style="26"/>
    <col min="7687" max="7687" width="9.5546875" style="26" bestFit="1" customWidth="1"/>
    <col min="7688" max="7688" width="10.6640625" style="26" customWidth="1"/>
    <col min="7689" max="7942" width="9.109375" style="26"/>
    <col min="7943" max="7943" width="9.5546875" style="26" bestFit="1" customWidth="1"/>
    <col min="7944" max="7944" width="10.6640625" style="26" customWidth="1"/>
    <col min="7945" max="8198" width="9.109375" style="26"/>
    <col min="8199" max="8199" width="9.5546875" style="26" bestFit="1" customWidth="1"/>
    <col min="8200" max="8200" width="10.6640625" style="26" customWidth="1"/>
    <col min="8201" max="8454" width="9.109375" style="26"/>
    <col min="8455" max="8455" width="9.5546875" style="26" bestFit="1" customWidth="1"/>
    <col min="8456" max="8456" width="10.6640625" style="26" customWidth="1"/>
    <col min="8457" max="8710" width="9.109375" style="26"/>
    <col min="8711" max="8711" width="9.5546875" style="26" bestFit="1" customWidth="1"/>
    <col min="8712" max="8712" width="10.6640625" style="26" customWidth="1"/>
    <col min="8713" max="8966" width="9.109375" style="26"/>
    <col min="8967" max="8967" width="9.5546875" style="26" bestFit="1" customWidth="1"/>
    <col min="8968" max="8968" width="10.6640625" style="26" customWidth="1"/>
    <col min="8969" max="9222" width="9.109375" style="26"/>
    <col min="9223" max="9223" width="9.5546875" style="26" bestFit="1" customWidth="1"/>
    <col min="9224" max="9224" width="10.6640625" style="26" customWidth="1"/>
    <col min="9225" max="9478" width="9.109375" style="26"/>
    <col min="9479" max="9479" width="9.5546875" style="26" bestFit="1" customWidth="1"/>
    <col min="9480" max="9480" width="10.6640625" style="26" customWidth="1"/>
    <col min="9481" max="9734" width="9.109375" style="26"/>
    <col min="9735" max="9735" width="9.5546875" style="26" bestFit="1" customWidth="1"/>
    <col min="9736" max="9736" width="10.6640625" style="26" customWidth="1"/>
    <col min="9737" max="9990" width="9.109375" style="26"/>
    <col min="9991" max="9991" width="9.5546875" style="26" bestFit="1" customWidth="1"/>
    <col min="9992" max="9992" width="10.6640625" style="26" customWidth="1"/>
    <col min="9993" max="10246" width="9.109375" style="26"/>
    <col min="10247" max="10247" width="9.5546875" style="26" bestFit="1" customWidth="1"/>
    <col min="10248" max="10248" width="10.6640625" style="26" customWidth="1"/>
    <col min="10249" max="10502" width="9.109375" style="26"/>
    <col min="10503" max="10503" width="9.5546875" style="26" bestFit="1" customWidth="1"/>
    <col min="10504" max="10504" width="10.6640625" style="26" customWidth="1"/>
    <col min="10505" max="10758" width="9.109375" style="26"/>
    <col min="10759" max="10759" width="9.5546875" style="26" bestFit="1" customWidth="1"/>
    <col min="10760" max="10760" width="10.6640625" style="26" customWidth="1"/>
    <col min="10761" max="11014" width="9.109375" style="26"/>
    <col min="11015" max="11015" width="9.5546875" style="26" bestFit="1" customWidth="1"/>
    <col min="11016" max="11016" width="10.6640625" style="26" customWidth="1"/>
    <col min="11017" max="11270" width="9.109375" style="26"/>
    <col min="11271" max="11271" width="9.5546875" style="26" bestFit="1" customWidth="1"/>
    <col min="11272" max="11272" width="10.6640625" style="26" customWidth="1"/>
    <col min="11273" max="11526" width="9.109375" style="26"/>
    <col min="11527" max="11527" width="9.5546875" style="26" bestFit="1" customWidth="1"/>
    <col min="11528" max="11528" width="10.6640625" style="26" customWidth="1"/>
    <col min="11529" max="11782" width="9.109375" style="26"/>
    <col min="11783" max="11783" width="9.5546875" style="26" bestFit="1" customWidth="1"/>
    <col min="11784" max="11784" width="10.6640625" style="26" customWidth="1"/>
    <col min="11785" max="12038" width="9.109375" style="26"/>
    <col min="12039" max="12039" width="9.5546875" style="26" bestFit="1" customWidth="1"/>
    <col min="12040" max="12040" width="10.6640625" style="26" customWidth="1"/>
    <col min="12041" max="12294" width="9.109375" style="26"/>
    <col min="12295" max="12295" width="9.5546875" style="26" bestFit="1" customWidth="1"/>
    <col min="12296" max="12296" width="10.6640625" style="26" customWidth="1"/>
    <col min="12297" max="12550" width="9.109375" style="26"/>
    <col min="12551" max="12551" width="9.5546875" style="26" bestFit="1" customWidth="1"/>
    <col min="12552" max="12552" width="10.6640625" style="26" customWidth="1"/>
    <col min="12553" max="12806" width="9.109375" style="26"/>
    <col min="12807" max="12807" width="9.5546875" style="26" bestFit="1" customWidth="1"/>
    <col min="12808" max="12808" width="10.6640625" style="26" customWidth="1"/>
    <col min="12809" max="13062" width="9.109375" style="26"/>
    <col min="13063" max="13063" width="9.5546875" style="26" bestFit="1" customWidth="1"/>
    <col min="13064" max="13064" width="10.6640625" style="26" customWidth="1"/>
    <col min="13065" max="13318" width="9.109375" style="26"/>
    <col min="13319" max="13319" width="9.5546875" style="26" bestFit="1" customWidth="1"/>
    <col min="13320" max="13320" width="10.6640625" style="26" customWidth="1"/>
    <col min="13321" max="13574" width="9.109375" style="26"/>
    <col min="13575" max="13575" width="9.5546875" style="26" bestFit="1" customWidth="1"/>
    <col min="13576" max="13576" width="10.6640625" style="26" customWidth="1"/>
    <col min="13577" max="13830" width="9.109375" style="26"/>
    <col min="13831" max="13831" width="9.5546875" style="26" bestFit="1" customWidth="1"/>
    <col min="13832" max="13832" width="10.6640625" style="26" customWidth="1"/>
    <col min="13833" max="14086" width="9.109375" style="26"/>
    <col min="14087" max="14087" width="9.5546875" style="26" bestFit="1" customWidth="1"/>
    <col min="14088" max="14088" width="10.6640625" style="26" customWidth="1"/>
    <col min="14089" max="14342" width="9.109375" style="26"/>
    <col min="14343" max="14343" width="9.5546875" style="26" bestFit="1" customWidth="1"/>
    <col min="14344" max="14344" width="10.6640625" style="26" customWidth="1"/>
    <col min="14345" max="14598" width="9.109375" style="26"/>
    <col min="14599" max="14599" width="9.5546875" style="26" bestFit="1" customWidth="1"/>
    <col min="14600" max="14600" width="10.6640625" style="26" customWidth="1"/>
    <col min="14601" max="14854" width="9.109375" style="26"/>
    <col min="14855" max="14855" width="9.5546875" style="26" bestFit="1" customWidth="1"/>
    <col min="14856" max="14856" width="10.6640625" style="26" customWidth="1"/>
    <col min="14857" max="15110" width="9.109375" style="26"/>
    <col min="15111" max="15111" width="9.5546875" style="26" bestFit="1" customWidth="1"/>
    <col min="15112" max="15112" width="10.6640625" style="26" customWidth="1"/>
    <col min="15113" max="15366" width="9.109375" style="26"/>
    <col min="15367" max="15367" width="9.5546875" style="26" bestFit="1" customWidth="1"/>
    <col min="15368" max="15368" width="10.6640625" style="26" customWidth="1"/>
    <col min="15369" max="15622" width="9.109375" style="26"/>
    <col min="15623" max="15623" width="9.5546875" style="26" bestFit="1" customWidth="1"/>
    <col min="15624" max="15624" width="10.6640625" style="26" customWidth="1"/>
    <col min="15625" max="15878" width="9.109375" style="26"/>
    <col min="15879" max="15879" width="9.5546875" style="26" bestFit="1" customWidth="1"/>
    <col min="15880" max="15880" width="10.6640625" style="26" customWidth="1"/>
    <col min="15881" max="16134" width="9.109375" style="26"/>
    <col min="16135" max="16135" width="9.5546875" style="26" bestFit="1" customWidth="1"/>
    <col min="16136" max="16136" width="10.6640625" style="26" customWidth="1"/>
    <col min="16137" max="16384" width="9.109375" style="26"/>
  </cols>
  <sheetData>
    <row r="1" spans="1:15" ht="13.8" thickBot="1" x14ac:dyDescent="0.3">
      <c r="A1" s="84" t="s">
        <v>289</v>
      </c>
      <c r="B1" s="275" t="s">
        <v>402</v>
      </c>
      <c r="C1" s="33">
        <f>Drives!BA32</f>
        <v>38490.017945975058</v>
      </c>
      <c r="D1" s="28" t="s">
        <v>7</v>
      </c>
      <c r="E1" s="300">
        <v>7.5</v>
      </c>
      <c r="F1" s="301">
        <f>MAX(0.1,E1+100/C1)</f>
        <v>7.5025980762113536</v>
      </c>
      <c r="G1" s="36" t="s">
        <v>1</v>
      </c>
      <c r="H1" s="29">
        <f>IF(J1=0,0,H4/J1)</f>
        <v>0</v>
      </c>
      <c r="I1" s="54" t="s">
        <v>94</v>
      </c>
      <c r="J1" s="34">
        <f>Drives!Z32</f>
        <v>0</v>
      </c>
      <c r="K1" s="26" t="s">
        <v>84</v>
      </c>
      <c r="N1" s="254">
        <v>0.96</v>
      </c>
      <c r="O1" s="26" t="s">
        <v>176</v>
      </c>
    </row>
    <row r="2" spans="1:15" x14ac:dyDescent="0.25">
      <c r="A2" s="269" t="s">
        <v>88</v>
      </c>
      <c r="B2" s="276">
        <v>32</v>
      </c>
      <c r="D2" s="26">
        <f>C4+1</f>
        <v>9</v>
      </c>
      <c r="E2" s="41">
        <f>F1-C3</f>
        <v>0.50259807621135355</v>
      </c>
      <c r="F2" s="36"/>
      <c r="G2" s="36"/>
      <c r="J2" s="29">
        <f>IF(J1&gt;=0.6, 0.7+(J1-0.6)*0.75, IF(J1&gt;=0.2, 0.3+(J1-0.2)*1, J1*1.5))</f>
        <v>0</v>
      </c>
      <c r="K2" s="26" t="s">
        <v>60</v>
      </c>
    </row>
    <row r="3" spans="1:15" ht="13.8" thickBot="1" x14ac:dyDescent="0.3">
      <c r="A3" s="270" t="s">
        <v>91</v>
      </c>
      <c r="C3" s="41">
        <f>HLOOKUP($F$1,$D$62:$U$113,(B3+1))</f>
        <v>7</v>
      </c>
      <c r="D3" s="41">
        <f>HLOOKUP($D$2,$D$61:$U$113,(B3+2))</f>
        <v>8</v>
      </c>
      <c r="E3" s="26">
        <f>D3-C3</f>
        <v>1</v>
      </c>
      <c r="F3" s="26">
        <f>IF(E3=0,1,E2/E3)</f>
        <v>0.50259807621135355</v>
      </c>
      <c r="G3" s="32">
        <f>C3+(E3*F3)</f>
        <v>7.5025980762113536</v>
      </c>
      <c r="J3" s="31"/>
    </row>
    <row r="4" spans="1:15" ht="13.8" thickBot="1" x14ac:dyDescent="0.3">
      <c r="A4" s="31" t="s">
        <v>90</v>
      </c>
      <c r="B4" s="26">
        <v>1</v>
      </c>
      <c r="C4" s="302">
        <f t="shared" ref="C4:C53" si="0">HLOOKUP($F$1,$D$62:$U$113,(B4+1))</f>
        <v>8</v>
      </c>
      <c r="D4" s="302">
        <f t="shared" ref="D4:D53" si="1">HLOOKUP($D$2,$D$61:$U$113,(B4+2))</f>
        <v>9</v>
      </c>
      <c r="G4" s="27">
        <v>100</v>
      </c>
      <c r="H4" s="34">
        <f>Drives!AR32</f>
        <v>0</v>
      </c>
      <c r="I4" s="26" t="s">
        <v>53</v>
      </c>
    </row>
    <row r="5" spans="1:15" x14ac:dyDescent="0.25">
      <c r="A5" s="31"/>
      <c r="B5" s="26">
        <v>2</v>
      </c>
      <c r="C5" s="52">
        <f t="shared" si="0"/>
        <v>1.1120918013740941E-2</v>
      </c>
      <c r="D5" s="52">
        <f t="shared" si="1"/>
        <v>1.2571907703050382E-2</v>
      </c>
      <c r="E5" s="48">
        <f t="shared" ref="E5:E53" si="2">D5-C5</f>
        <v>1.4509896893094409E-3</v>
      </c>
      <c r="F5" s="48">
        <f t="shared" ref="F5:F53" si="3">E5*$F$3</f>
        <v>7.2926462644943462E-4</v>
      </c>
      <c r="G5" s="48">
        <f t="shared" ref="G5:G53" si="4">C5+F5</f>
        <v>1.1850182640190375E-2</v>
      </c>
      <c r="H5" s="30">
        <f>J$2*G5*$H$1/100</f>
        <v>0</v>
      </c>
    </row>
    <row r="6" spans="1:15" x14ac:dyDescent="0.25">
      <c r="A6" s="270" t="s">
        <v>404</v>
      </c>
      <c r="B6" s="26">
        <v>3</v>
      </c>
      <c r="C6" s="52">
        <f t="shared" si="0"/>
        <v>3.7115343236794409</v>
      </c>
      <c r="D6" s="52">
        <f t="shared" si="1"/>
        <v>2.8652501742303245</v>
      </c>
      <c r="E6" s="48">
        <f t="shared" si="2"/>
        <v>-0.84628414944911645</v>
      </c>
      <c r="F6" s="48">
        <f t="shared" si="3"/>
        <v>-0.42534078544128756</v>
      </c>
      <c r="G6" s="48">
        <f t="shared" si="4"/>
        <v>3.2861935382381535</v>
      </c>
      <c r="H6" s="30">
        <f t="shared" ref="H6:H53" si="5">J$2*G6*$H$1/100</f>
        <v>0</v>
      </c>
    </row>
    <row r="7" spans="1:15" x14ac:dyDescent="0.25">
      <c r="A7" s="270" t="s">
        <v>92</v>
      </c>
      <c r="B7" s="26">
        <v>4</v>
      </c>
      <c r="C7" s="52">
        <f t="shared" si="0"/>
        <v>2.2309871990685983E-2</v>
      </c>
      <c r="D7" s="52">
        <f t="shared" si="1"/>
        <v>1.4672119245636975E-2</v>
      </c>
      <c r="E7" s="48">
        <f t="shared" si="2"/>
        <v>-7.637752745049008E-3</v>
      </c>
      <c r="F7" s="48">
        <f t="shared" si="3"/>
        <v>-3.8387198362396162E-3</v>
      </c>
      <c r="G7" s="48">
        <f t="shared" si="4"/>
        <v>1.8471152154446367E-2</v>
      </c>
      <c r="H7" s="30">
        <f t="shared" si="5"/>
        <v>0</v>
      </c>
    </row>
    <row r="8" spans="1:15" x14ac:dyDescent="0.25">
      <c r="A8" s="50"/>
      <c r="B8" s="26">
        <v>5</v>
      </c>
      <c r="C8" s="52">
        <f t="shared" si="0"/>
        <v>31.801834469310585</v>
      </c>
      <c r="D8" s="52">
        <f t="shared" si="1"/>
        <v>29.833911528390878</v>
      </c>
      <c r="E8" s="48">
        <f t="shared" si="2"/>
        <v>-1.9679229409197063</v>
      </c>
      <c r="F8" s="48">
        <f t="shared" si="3"/>
        <v>-0.98907428423843358</v>
      </c>
      <c r="G8" s="48">
        <f t="shared" si="4"/>
        <v>30.81276018507215</v>
      </c>
      <c r="H8" s="30">
        <f t="shared" si="5"/>
        <v>0</v>
      </c>
    </row>
    <row r="9" spans="1:15" x14ac:dyDescent="0.25">
      <c r="A9" s="50"/>
      <c r="B9" s="26">
        <v>6</v>
      </c>
      <c r="C9" s="52">
        <f t="shared" si="0"/>
        <v>6.0169639857389576E-3</v>
      </c>
      <c r="D9" s="52">
        <f t="shared" si="1"/>
        <v>7.3330327729595772E-3</v>
      </c>
      <c r="E9" s="48">
        <f t="shared" si="2"/>
        <v>1.3160687872206195E-3</v>
      </c>
      <c r="F9" s="48">
        <f t="shared" si="3"/>
        <v>6.6145364061889257E-4</v>
      </c>
      <c r="G9" s="48">
        <f t="shared" si="4"/>
        <v>6.67841762635785E-3</v>
      </c>
      <c r="H9" s="30">
        <f t="shared" si="5"/>
        <v>0</v>
      </c>
    </row>
    <row r="10" spans="1:15" x14ac:dyDescent="0.25">
      <c r="B10" s="26">
        <v>7</v>
      </c>
      <c r="C10" s="52">
        <f t="shared" si="0"/>
        <v>7.3447486655802345</v>
      </c>
      <c r="D10" s="52">
        <f t="shared" si="1"/>
        <v>6.8022663683683335</v>
      </c>
      <c r="E10" s="48">
        <f t="shared" si="2"/>
        <v>-0.542482297211901</v>
      </c>
      <c r="F10" s="48">
        <f t="shared" si="3"/>
        <v>-0.27265055895741719</v>
      </c>
      <c r="G10" s="48">
        <f t="shared" si="4"/>
        <v>7.0720981066228177</v>
      </c>
      <c r="H10" s="30">
        <f t="shared" si="5"/>
        <v>0</v>
      </c>
    </row>
    <row r="11" spans="1:15" x14ac:dyDescent="0.25">
      <c r="B11" s="26">
        <v>8</v>
      </c>
      <c r="C11" s="52">
        <f t="shared" si="0"/>
        <v>1.0643351525778579E-2</v>
      </c>
      <c r="D11" s="52">
        <f t="shared" si="1"/>
        <v>4.3473848598230228E-3</v>
      </c>
      <c r="E11" s="48">
        <f t="shared" si="2"/>
        <v>-6.2959666659555564E-3</v>
      </c>
      <c r="F11" s="48">
        <f t="shared" si="3"/>
        <v>-3.1643407342000721E-3</v>
      </c>
      <c r="G11" s="48">
        <f t="shared" si="4"/>
        <v>7.4790107915785071E-3</v>
      </c>
      <c r="H11" s="30">
        <f t="shared" si="5"/>
        <v>0</v>
      </c>
    </row>
    <row r="12" spans="1:15" x14ac:dyDescent="0.25">
      <c r="B12" s="26">
        <v>9</v>
      </c>
      <c r="C12" s="52">
        <f t="shared" si="0"/>
        <v>0.68104076968532634</v>
      </c>
      <c r="D12" s="52">
        <f t="shared" si="1"/>
        <v>0.50610374236669098</v>
      </c>
      <c r="E12" s="48">
        <f t="shared" si="2"/>
        <v>-0.17493702731863536</v>
      </c>
      <c r="F12" s="48">
        <f t="shared" si="3"/>
        <v>-8.7923013388479132E-2</v>
      </c>
      <c r="G12" s="48">
        <f t="shared" si="4"/>
        <v>0.59311775629684726</v>
      </c>
      <c r="H12" s="30">
        <f t="shared" si="5"/>
        <v>0</v>
      </c>
    </row>
    <row r="13" spans="1:15" x14ac:dyDescent="0.25">
      <c r="B13" s="26">
        <v>10</v>
      </c>
      <c r="C13" s="52">
        <f t="shared" si="0"/>
        <v>6.6241460677741474E-3</v>
      </c>
      <c r="D13" s="52">
        <f t="shared" si="1"/>
        <v>9.5446111698385379E-4</v>
      </c>
      <c r="E13" s="48">
        <f t="shared" si="2"/>
        <v>-5.6696849507902932E-3</v>
      </c>
      <c r="F13" s="48">
        <f t="shared" si="3"/>
        <v>-2.8495727489916641E-3</v>
      </c>
      <c r="G13" s="48">
        <f t="shared" si="4"/>
        <v>3.7745733187824833E-3</v>
      </c>
      <c r="H13" s="30">
        <f t="shared" si="5"/>
        <v>0</v>
      </c>
    </row>
    <row r="14" spans="1:15" x14ac:dyDescent="0.25">
      <c r="B14" s="26">
        <v>11</v>
      </c>
      <c r="C14" s="52">
        <f t="shared" si="0"/>
        <v>6.0786150094839924</v>
      </c>
      <c r="D14" s="52">
        <f t="shared" si="1"/>
        <v>5.6151234987755405</v>
      </c>
      <c r="E14" s="48">
        <f t="shared" si="2"/>
        <v>-0.46349151070845185</v>
      </c>
      <c r="F14" s="48">
        <f t="shared" si="3"/>
        <v>-0.23294994162236188</v>
      </c>
      <c r="G14" s="48">
        <f t="shared" si="4"/>
        <v>5.8456650678616304</v>
      </c>
      <c r="H14" s="30">
        <f t="shared" si="5"/>
        <v>0</v>
      </c>
    </row>
    <row r="15" spans="1:15" x14ac:dyDescent="0.25">
      <c r="B15" s="26">
        <v>12</v>
      </c>
      <c r="C15" s="52">
        <f t="shared" si="0"/>
        <v>7.2345470714335765E-4</v>
      </c>
      <c r="D15" s="52">
        <f t="shared" si="1"/>
        <v>2.8137542278655172E-3</v>
      </c>
      <c r="E15" s="48">
        <f t="shared" si="2"/>
        <v>2.0902995207221593E-3</v>
      </c>
      <c r="F15" s="48">
        <f t="shared" si="3"/>
        <v>1.0505805178204716E-3</v>
      </c>
      <c r="G15" s="48">
        <f t="shared" si="4"/>
        <v>1.7740352249638292E-3</v>
      </c>
      <c r="H15" s="30">
        <f t="shared" si="5"/>
        <v>0</v>
      </c>
    </row>
    <row r="16" spans="1:15" x14ac:dyDescent="0.25">
      <c r="B16" s="26">
        <v>13</v>
      </c>
      <c r="C16" s="52">
        <f t="shared" si="0"/>
        <v>3.1590323561450395</v>
      </c>
      <c r="D16" s="52">
        <f t="shared" si="1"/>
        <v>3.1114405010378423</v>
      </c>
      <c r="E16" s="48">
        <f t="shared" si="2"/>
        <v>-4.7591855107197212E-2</v>
      </c>
      <c r="F16" s="48">
        <f t="shared" si="3"/>
        <v>-2.3919574820206801E-2</v>
      </c>
      <c r="G16" s="48">
        <f t="shared" si="4"/>
        <v>3.1351127813248327</v>
      </c>
      <c r="H16" s="30">
        <f t="shared" si="5"/>
        <v>0</v>
      </c>
    </row>
    <row r="17" spans="2:8" x14ac:dyDescent="0.25">
      <c r="B17" s="26">
        <v>14</v>
      </c>
      <c r="C17" s="52">
        <f t="shared" si="0"/>
        <v>1.2922710779955417E-2</v>
      </c>
      <c r="D17" s="52">
        <f t="shared" si="1"/>
        <v>6.7573395777536377E-3</v>
      </c>
      <c r="E17" s="48">
        <f t="shared" si="2"/>
        <v>-6.165371202201779E-3</v>
      </c>
      <c r="F17" s="48">
        <f t="shared" si="3"/>
        <v>-3.098703705355494E-3</v>
      </c>
      <c r="G17" s="48">
        <f t="shared" si="4"/>
        <v>9.8240070745999226E-3</v>
      </c>
      <c r="H17" s="30">
        <f t="shared" si="5"/>
        <v>0</v>
      </c>
    </row>
    <row r="18" spans="2:8" x14ac:dyDescent="0.25">
      <c r="B18" s="26">
        <v>15</v>
      </c>
      <c r="C18" s="52">
        <f t="shared" si="0"/>
        <v>0.32445444976062632</v>
      </c>
      <c r="D18" s="52">
        <f t="shared" si="1"/>
        <v>0.24590737646040681</v>
      </c>
      <c r="E18" s="48">
        <f t="shared" si="2"/>
        <v>-7.8547073300219511E-2</v>
      </c>
      <c r="F18" s="48">
        <f t="shared" si="3"/>
        <v>-3.9477607932722501E-2</v>
      </c>
      <c r="G18" s="48">
        <f t="shared" si="4"/>
        <v>0.28497684182790384</v>
      </c>
      <c r="H18" s="30">
        <f t="shared" si="5"/>
        <v>0</v>
      </c>
    </row>
    <row r="19" spans="2:8" x14ac:dyDescent="0.25">
      <c r="B19" s="26">
        <v>16</v>
      </c>
      <c r="C19" s="52">
        <f t="shared" si="0"/>
        <v>1.0797812516310075E-2</v>
      </c>
      <c r="D19" s="52">
        <f t="shared" si="1"/>
        <v>4.9258459762198314E-3</v>
      </c>
      <c r="E19" s="48">
        <f t="shared" si="2"/>
        <v>-5.8719665400902435E-3</v>
      </c>
      <c r="F19" s="48">
        <f t="shared" si="3"/>
        <v>-2.9512390866267943E-3</v>
      </c>
      <c r="G19" s="48">
        <f t="shared" si="4"/>
        <v>7.8465734296832811E-3</v>
      </c>
      <c r="H19" s="30">
        <f t="shared" si="5"/>
        <v>0</v>
      </c>
    </row>
    <row r="20" spans="2:8" x14ac:dyDescent="0.25">
      <c r="B20" s="26">
        <v>17</v>
      </c>
      <c r="C20" s="52">
        <f t="shared" si="0"/>
        <v>2.1281057585635259</v>
      </c>
      <c r="D20" s="52">
        <f t="shared" si="1"/>
        <v>1.850567348179557</v>
      </c>
      <c r="E20" s="48">
        <f t="shared" si="2"/>
        <v>-0.27753841038396887</v>
      </c>
      <c r="F20" s="48">
        <f t="shared" si="3"/>
        <v>-0.13949027113373991</v>
      </c>
      <c r="G20" s="48">
        <f t="shared" si="4"/>
        <v>1.9886154874297861</v>
      </c>
      <c r="H20" s="30">
        <f t="shared" si="5"/>
        <v>0</v>
      </c>
    </row>
    <row r="21" spans="2:8" x14ac:dyDescent="0.25">
      <c r="B21" s="26">
        <v>18</v>
      </c>
      <c r="C21" s="52">
        <f t="shared" si="0"/>
        <v>5.3824967182370125E-4</v>
      </c>
      <c r="D21" s="52">
        <f t="shared" si="1"/>
        <v>3.4207800467921257E-3</v>
      </c>
      <c r="E21" s="48">
        <f t="shared" si="2"/>
        <v>2.8825303749684247E-3</v>
      </c>
      <c r="F21" s="48">
        <f t="shared" si="3"/>
        <v>1.4487542210799217E-3</v>
      </c>
      <c r="G21" s="48">
        <f t="shared" si="4"/>
        <v>1.9870038929036228E-3</v>
      </c>
      <c r="H21" s="30">
        <f t="shared" si="5"/>
        <v>0</v>
      </c>
    </row>
    <row r="22" spans="2:8" x14ac:dyDescent="0.25">
      <c r="B22" s="26">
        <v>19</v>
      </c>
      <c r="C22" s="52">
        <f t="shared" si="0"/>
        <v>1.6441205577377018</v>
      </c>
      <c r="D22" s="52">
        <f t="shared" si="1"/>
        <v>1.5015094716885002</v>
      </c>
      <c r="E22" s="48">
        <f t="shared" si="2"/>
        <v>-0.14261108604920159</v>
      </c>
      <c r="F22" s="48">
        <f t="shared" si="3"/>
        <v>-7.1676057494740514E-2</v>
      </c>
      <c r="G22" s="48">
        <f t="shared" si="4"/>
        <v>1.5724445002429612</v>
      </c>
      <c r="H22" s="30">
        <f t="shared" si="5"/>
        <v>0</v>
      </c>
    </row>
    <row r="23" spans="2:8" x14ac:dyDescent="0.25">
      <c r="B23" s="26">
        <v>20</v>
      </c>
      <c r="C23" s="52">
        <f t="shared" si="0"/>
        <v>1.0659586926913772E-2</v>
      </c>
      <c r="D23" s="52">
        <f t="shared" si="1"/>
        <v>3.9990621565117561E-3</v>
      </c>
      <c r="E23" s="48">
        <f t="shared" si="2"/>
        <v>-6.6605247704020158E-3</v>
      </c>
      <c r="F23" s="48">
        <f t="shared" si="3"/>
        <v>-3.3475669361621202E-3</v>
      </c>
      <c r="G23" s="48">
        <f t="shared" si="4"/>
        <v>7.3120199907516521E-3</v>
      </c>
      <c r="H23" s="30">
        <f t="shared" si="5"/>
        <v>0</v>
      </c>
    </row>
    <row r="24" spans="2:8" x14ac:dyDescent="0.25">
      <c r="B24" s="26">
        <v>21</v>
      </c>
      <c r="C24" s="52">
        <f t="shared" si="0"/>
        <v>0.24976274080004948</v>
      </c>
      <c r="D24" s="52">
        <f t="shared" si="1"/>
        <v>0.20143664947276263</v>
      </c>
      <c r="E24" s="48">
        <f t="shared" si="2"/>
        <v>-4.8326091327286852E-2</v>
      </c>
      <c r="F24" s="48">
        <f t="shared" si="3"/>
        <v>-2.4288600531908549E-2</v>
      </c>
      <c r="G24" s="48">
        <f t="shared" si="4"/>
        <v>0.22547414026814094</v>
      </c>
      <c r="H24" s="30">
        <f t="shared" si="5"/>
        <v>0</v>
      </c>
    </row>
    <row r="25" spans="2:8" x14ac:dyDescent="0.25">
      <c r="B25" s="26">
        <v>22</v>
      </c>
      <c r="C25" s="52">
        <f t="shared" si="0"/>
        <v>8.7776949548354632E-3</v>
      </c>
      <c r="D25" s="52">
        <f t="shared" si="1"/>
        <v>2.8422690440152187E-3</v>
      </c>
      <c r="E25" s="48">
        <f t="shared" si="2"/>
        <v>-5.935425910820245E-3</v>
      </c>
      <c r="F25" s="48">
        <f t="shared" si="3"/>
        <v>-2.983133644273276E-3</v>
      </c>
      <c r="G25" s="48">
        <f t="shared" si="4"/>
        <v>5.7945613105621872E-3</v>
      </c>
      <c r="H25" s="30">
        <f t="shared" si="5"/>
        <v>0</v>
      </c>
    </row>
    <row r="26" spans="2:8" x14ac:dyDescent="0.25">
      <c r="B26" s="26">
        <v>23</v>
      </c>
      <c r="C26" s="52">
        <f t="shared" si="0"/>
        <v>1.0449622436221531</v>
      </c>
      <c r="D26" s="52">
        <f t="shared" si="1"/>
        <v>0.98668776275695924</v>
      </c>
      <c r="E26" s="48">
        <f t="shared" si="2"/>
        <v>-5.8274480865193823E-2</v>
      </c>
      <c r="F26" s="48">
        <f t="shared" si="3"/>
        <v>-2.9288641975061751E-2</v>
      </c>
      <c r="G26" s="48">
        <f t="shared" si="4"/>
        <v>1.0156736016470913</v>
      </c>
      <c r="H26" s="30">
        <f t="shared" si="5"/>
        <v>0</v>
      </c>
    </row>
    <row r="27" spans="2:8" x14ac:dyDescent="0.25">
      <c r="B27" s="26">
        <v>24</v>
      </c>
      <c r="C27" s="52">
        <f t="shared" si="0"/>
        <v>2.3272957918215429E-3</v>
      </c>
      <c r="D27" s="52">
        <f t="shared" si="1"/>
        <v>3.1075268606800422E-3</v>
      </c>
      <c r="E27" s="48">
        <f t="shared" si="2"/>
        <v>7.8023106885849935E-4</v>
      </c>
      <c r="F27" s="48">
        <f t="shared" si="3"/>
        <v>3.9214263420860989E-4</v>
      </c>
      <c r="G27" s="48">
        <f t="shared" si="4"/>
        <v>2.7194384260301528E-3</v>
      </c>
      <c r="H27" s="30">
        <f t="shared" si="5"/>
        <v>0</v>
      </c>
    </row>
    <row r="28" spans="2:8" x14ac:dyDescent="0.25">
      <c r="B28" s="26">
        <v>25</v>
      </c>
      <c r="C28" s="52">
        <f t="shared" si="0"/>
        <v>0.77335390981045959</v>
      </c>
      <c r="D28" s="52">
        <f t="shared" si="1"/>
        <v>0.680943962179267</v>
      </c>
      <c r="E28" s="48">
        <f t="shared" si="2"/>
        <v>-9.240994763119259E-2</v>
      </c>
      <c r="F28" s="48">
        <f t="shared" si="3"/>
        <v>-4.6445061902229322E-2</v>
      </c>
      <c r="G28" s="48">
        <f t="shared" si="4"/>
        <v>0.72690884790823029</v>
      </c>
      <c r="H28" s="30">
        <f t="shared" si="5"/>
        <v>0</v>
      </c>
    </row>
    <row r="29" spans="2:8" x14ac:dyDescent="0.25">
      <c r="B29" s="26">
        <v>26</v>
      </c>
      <c r="C29" s="52">
        <f t="shared" si="0"/>
        <v>1.1502164549246671E-2</v>
      </c>
      <c r="D29" s="52">
        <f t="shared" si="1"/>
        <v>6.3586835670058186E-3</v>
      </c>
      <c r="E29" s="48">
        <f t="shared" si="2"/>
        <v>-5.1434809822408526E-3</v>
      </c>
      <c r="F29" s="48">
        <f t="shared" si="3"/>
        <v>-2.5851036467039357E-3</v>
      </c>
      <c r="G29" s="48">
        <f t="shared" si="4"/>
        <v>8.917060902542736E-3</v>
      </c>
      <c r="H29" s="30">
        <f t="shared" si="5"/>
        <v>0</v>
      </c>
    </row>
    <row r="30" spans="2:8" x14ac:dyDescent="0.25">
      <c r="B30" s="26">
        <v>27</v>
      </c>
      <c r="C30" s="52">
        <f t="shared" si="0"/>
        <v>0.20563582476045428</v>
      </c>
      <c r="D30" s="52">
        <f t="shared" si="1"/>
        <v>0.15760505021576746</v>
      </c>
      <c r="E30" s="48">
        <f t="shared" si="2"/>
        <v>-4.8030774544686822E-2</v>
      </c>
      <c r="F30" s="48">
        <f t="shared" si="3"/>
        <v>-2.4140174885100847E-2</v>
      </c>
      <c r="G30" s="48">
        <f t="shared" si="4"/>
        <v>0.18149564987535344</v>
      </c>
      <c r="H30" s="30">
        <f t="shared" si="5"/>
        <v>0</v>
      </c>
    </row>
    <row r="31" spans="2:8" x14ac:dyDescent="0.25">
      <c r="B31" s="26">
        <v>28</v>
      </c>
      <c r="C31" s="52">
        <f t="shared" si="0"/>
        <v>9.2930775732190107E-3</v>
      </c>
      <c r="D31" s="52">
        <f t="shared" si="1"/>
        <v>3.3090135809581808E-3</v>
      </c>
      <c r="E31" s="48">
        <f t="shared" si="2"/>
        <v>-5.9840639922608303E-3</v>
      </c>
      <c r="F31" s="48">
        <f t="shared" si="3"/>
        <v>-3.0075790504359252E-3</v>
      </c>
      <c r="G31" s="48">
        <f t="shared" si="4"/>
        <v>6.2854985227830855E-3</v>
      </c>
      <c r="H31" s="30">
        <f t="shared" si="5"/>
        <v>0</v>
      </c>
    </row>
    <row r="32" spans="2:8" x14ac:dyDescent="0.25">
      <c r="B32" s="26">
        <v>29</v>
      </c>
      <c r="C32" s="52">
        <f t="shared" si="0"/>
        <v>0.75575983296320848</v>
      </c>
      <c r="D32" s="52">
        <f t="shared" si="1"/>
        <v>0.72478506133268517</v>
      </c>
      <c r="E32" s="48">
        <f t="shared" si="2"/>
        <v>-3.0974771630523312E-2</v>
      </c>
      <c r="F32" s="48">
        <f t="shared" si="3"/>
        <v>-1.5567860632587027E-2</v>
      </c>
      <c r="G32" s="48">
        <f t="shared" si="4"/>
        <v>0.74019197233062139</v>
      </c>
      <c r="H32" s="30">
        <f t="shared" si="5"/>
        <v>0</v>
      </c>
    </row>
    <row r="33" spans="2:8" x14ac:dyDescent="0.25">
      <c r="B33" s="26">
        <v>30</v>
      </c>
      <c r="C33" s="52">
        <f t="shared" si="0"/>
        <v>1.9564019833816105E-3</v>
      </c>
      <c r="D33" s="52">
        <f t="shared" si="1"/>
        <v>2.8717553777810353E-3</v>
      </c>
      <c r="E33" s="48">
        <f t="shared" si="2"/>
        <v>9.1535339439942484E-4</v>
      </c>
      <c r="F33" s="48">
        <f t="shared" si="3"/>
        <v>4.6005485507868331E-4</v>
      </c>
      <c r="G33" s="48">
        <f t="shared" si="4"/>
        <v>2.4164568384602938E-3</v>
      </c>
      <c r="H33" s="30">
        <f t="shared" si="5"/>
        <v>0</v>
      </c>
    </row>
    <row r="34" spans="2:8" x14ac:dyDescent="0.25">
      <c r="B34" s="26">
        <v>31</v>
      </c>
      <c r="C34" s="52">
        <f t="shared" si="0"/>
        <v>0.42486576546865334</v>
      </c>
      <c r="D34" s="52">
        <f t="shared" si="1"/>
        <v>0.43056874893088998</v>
      </c>
      <c r="E34" s="48">
        <f t="shared" si="2"/>
        <v>5.7029834622366327E-3</v>
      </c>
      <c r="F34" s="48">
        <f t="shared" si="3"/>
        <v>2.8663085167852961E-3</v>
      </c>
      <c r="G34" s="48">
        <f t="shared" si="4"/>
        <v>0.42773207398543867</v>
      </c>
      <c r="H34" s="30">
        <f t="shared" si="5"/>
        <v>0</v>
      </c>
    </row>
    <row r="35" spans="2:8" x14ac:dyDescent="0.25">
      <c r="B35" s="26">
        <v>32</v>
      </c>
      <c r="C35" s="52">
        <f t="shared" si="0"/>
        <v>1.1921658515740853E-2</v>
      </c>
      <c r="D35" s="52">
        <f t="shared" si="1"/>
        <v>5.9187663071225798E-3</v>
      </c>
      <c r="E35" s="48">
        <f t="shared" si="2"/>
        <v>-6.002892208618273E-3</v>
      </c>
      <c r="F35" s="48">
        <f t="shared" si="3"/>
        <v>-3.0170420757556671E-3</v>
      </c>
      <c r="G35" s="48">
        <f t="shared" si="4"/>
        <v>8.9046164399851861E-3</v>
      </c>
      <c r="H35" s="30">
        <f t="shared" si="5"/>
        <v>0</v>
      </c>
    </row>
    <row r="36" spans="2:8" x14ac:dyDescent="0.25">
      <c r="B36" s="26">
        <v>33</v>
      </c>
      <c r="C36" s="52">
        <f t="shared" si="0"/>
        <v>0.15381673439332844</v>
      </c>
      <c r="D36" s="52">
        <f t="shared" si="1"/>
        <v>0.11558930646976719</v>
      </c>
      <c r="E36" s="48">
        <f t="shared" si="2"/>
        <v>-3.822742792356125E-2</v>
      </c>
      <c r="F36" s="48">
        <f t="shared" si="3"/>
        <v>-1.9213031732890063E-2</v>
      </c>
      <c r="G36" s="48">
        <f t="shared" si="4"/>
        <v>0.13460370266043836</v>
      </c>
      <c r="H36" s="30">
        <f t="shared" si="5"/>
        <v>0</v>
      </c>
    </row>
    <row r="37" spans="2:8" x14ac:dyDescent="0.25">
      <c r="B37" s="26">
        <v>34</v>
      </c>
      <c r="C37" s="52">
        <f t="shared" si="0"/>
        <v>0.10865726471480185</v>
      </c>
      <c r="D37" s="52">
        <f t="shared" si="1"/>
        <v>8.7921961526698345E-2</v>
      </c>
      <c r="E37" s="48">
        <f t="shared" si="2"/>
        <v>-2.0735303188103502E-2</v>
      </c>
      <c r="F37" s="48">
        <f t="shared" si="3"/>
        <v>-1.0421523491999965E-2</v>
      </c>
      <c r="G37" s="48">
        <f t="shared" si="4"/>
        <v>9.8235741222801876E-2</v>
      </c>
      <c r="H37" s="30">
        <f t="shared" si="5"/>
        <v>0</v>
      </c>
    </row>
    <row r="38" spans="2:8" x14ac:dyDescent="0.25">
      <c r="B38" s="26">
        <v>35</v>
      </c>
      <c r="C38" s="52">
        <f t="shared" si="0"/>
        <v>0.55172205299175037</v>
      </c>
      <c r="D38" s="52">
        <f t="shared" si="1"/>
        <v>0.48796466250698262</v>
      </c>
      <c r="E38" s="48">
        <f t="shared" si="2"/>
        <v>-6.3757390484767751E-2</v>
      </c>
      <c r="F38" s="48">
        <f t="shared" si="3"/>
        <v>-3.2044341801900328E-2</v>
      </c>
      <c r="G38" s="48">
        <f t="shared" si="4"/>
        <v>0.51967771118985007</v>
      </c>
      <c r="H38" s="30">
        <f t="shared" si="5"/>
        <v>0</v>
      </c>
    </row>
    <row r="39" spans="2:8" x14ac:dyDescent="0.25">
      <c r="B39" s="26">
        <v>36</v>
      </c>
      <c r="C39" s="52">
        <f t="shared" si="0"/>
        <v>0.10865726471480185</v>
      </c>
      <c r="D39" s="52">
        <f t="shared" si="1"/>
        <v>8.7921961526698345E-2</v>
      </c>
      <c r="E39" s="48">
        <f t="shared" si="2"/>
        <v>-2.0735303188103502E-2</v>
      </c>
      <c r="F39" s="48">
        <f t="shared" si="3"/>
        <v>-1.0421523491999965E-2</v>
      </c>
      <c r="G39" s="48">
        <f t="shared" si="4"/>
        <v>9.8235741222801876E-2</v>
      </c>
      <c r="H39" s="30">
        <f t="shared" si="5"/>
        <v>0</v>
      </c>
    </row>
    <row r="40" spans="2:8" x14ac:dyDescent="0.25">
      <c r="B40" s="26">
        <v>37</v>
      </c>
      <c r="C40" s="52">
        <f t="shared" si="0"/>
        <v>0.32334277343163409</v>
      </c>
      <c r="D40" s="52">
        <f t="shared" si="1"/>
        <v>0.31458122808120276</v>
      </c>
      <c r="E40" s="48">
        <f t="shared" si="2"/>
        <v>-8.7615453504313323E-3</v>
      </c>
      <c r="F40" s="48">
        <f t="shared" si="3"/>
        <v>-4.4035358377653173E-3</v>
      </c>
      <c r="G40" s="48">
        <f t="shared" si="4"/>
        <v>0.31893923759386877</v>
      </c>
      <c r="H40" s="30">
        <f t="shared" si="5"/>
        <v>0</v>
      </c>
    </row>
    <row r="41" spans="2:8" x14ac:dyDescent="0.25">
      <c r="B41" s="26">
        <v>38</v>
      </c>
      <c r="C41" s="52">
        <f t="shared" si="0"/>
        <v>0.10865726471480185</v>
      </c>
      <c r="D41" s="52">
        <f t="shared" si="1"/>
        <v>8.7921961526698345E-2</v>
      </c>
      <c r="E41" s="48">
        <f t="shared" si="2"/>
        <v>-2.0735303188103502E-2</v>
      </c>
      <c r="F41" s="48">
        <f t="shared" si="3"/>
        <v>-1.0421523491999965E-2</v>
      </c>
      <c r="G41" s="48">
        <f t="shared" si="4"/>
        <v>9.8235741222801876E-2</v>
      </c>
      <c r="H41" s="30">
        <f t="shared" si="5"/>
        <v>0</v>
      </c>
    </row>
    <row r="42" spans="2:8" x14ac:dyDescent="0.25">
      <c r="B42" s="26">
        <v>39</v>
      </c>
      <c r="C42" s="52">
        <f t="shared" si="0"/>
        <v>0.12256174642203793</v>
      </c>
      <c r="D42" s="52">
        <f t="shared" si="1"/>
        <v>9.8387203409769475E-2</v>
      </c>
      <c r="E42" s="48">
        <f t="shared" si="2"/>
        <v>-2.4174543012268457E-2</v>
      </c>
      <c r="F42" s="48">
        <f t="shared" si="3"/>
        <v>-1.2150078811254746E-2</v>
      </c>
      <c r="G42" s="48">
        <f t="shared" si="4"/>
        <v>0.11041166761078319</v>
      </c>
      <c r="H42" s="30">
        <f t="shared" si="5"/>
        <v>0</v>
      </c>
    </row>
    <row r="43" spans="2:8" x14ac:dyDescent="0.25">
      <c r="B43" s="26">
        <v>40</v>
      </c>
      <c r="C43" s="52">
        <f t="shared" si="0"/>
        <v>0.10865726471480185</v>
      </c>
      <c r="D43" s="52">
        <f t="shared" si="1"/>
        <v>8.7921961526698345E-2</v>
      </c>
      <c r="E43" s="48">
        <f t="shared" si="2"/>
        <v>-2.0735303188103502E-2</v>
      </c>
      <c r="F43" s="48">
        <f t="shared" si="3"/>
        <v>-1.0421523491999965E-2</v>
      </c>
      <c r="G43" s="48">
        <f t="shared" si="4"/>
        <v>9.8235741222801876E-2</v>
      </c>
      <c r="H43" s="30">
        <f t="shared" si="5"/>
        <v>0</v>
      </c>
    </row>
    <row r="44" spans="2:8" x14ac:dyDescent="0.25">
      <c r="B44" s="26">
        <v>41</v>
      </c>
      <c r="C44" s="52">
        <f t="shared" si="0"/>
        <v>0.37579029347140652</v>
      </c>
      <c r="D44" s="52">
        <f t="shared" si="1"/>
        <v>0.32440122806902955</v>
      </c>
      <c r="E44" s="48">
        <f t="shared" si="2"/>
        <v>-5.1389065402376977E-2</v>
      </c>
      <c r="F44" s="48">
        <f t="shared" si="3"/>
        <v>-2.5828045409534095E-2</v>
      </c>
      <c r="G44" s="48">
        <f t="shared" si="4"/>
        <v>0.34996224806187243</v>
      </c>
      <c r="H44" s="30">
        <f t="shared" si="5"/>
        <v>0</v>
      </c>
    </row>
    <row r="45" spans="2:8" x14ac:dyDescent="0.25">
      <c r="B45" s="26">
        <v>42</v>
      </c>
      <c r="C45" s="52">
        <f t="shared" si="0"/>
        <v>0.10865726471480185</v>
      </c>
      <c r="D45" s="52">
        <f t="shared" si="1"/>
        <v>8.7921961526698345E-2</v>
      </c>
      <c r="E45" s="48">
        <f t="shared" si="2"/>
        <v>-2.0735303188103502E-2</v>
      </c>
      <c r="F45" s="48">
        <f t="shared" si="3"/>
        <v>-1.0421523491999965E-2</v>
      </c>
      <c r="G45" s="48">
        <f t="shared" si="4"/>
        <v>9.8235741222801876E-2</v>
      </c>
      <c r="H45" s="30">
        <f t="shared" si="5"/>
        <v>0</v>
      </c>
    </row>
    <row r="46" spans="2:8" x14ac:dyDescent="0.25">
      <c r="B46" s="26">
        <v>43</v>
      </c>
      <c r="C46" s="52">
        <f t="shared" si="0"/>
        <v>0.22308863199724832</v>
      </c>
      <c r="D46" s="52">
        <f t="shared" si="1"/>
        <v>0.19779080449305989</v>
      </c>
      <c r="E46" s="48">
        <f t="shared" si="2"/>
        <v>-2.5297827504188436E-2</v>
      </c>
      <c r="F46" s="48">
        <f t="shared" si="3"/>
        <v>-1.2714639435931775E-2</v>
      </c>
      <c r="G46" s="48">
        <f t="shared" si="4"/>
        <v>0.21037399256131656</v>
      </c>
      <c r="H46" s="30">
        <f t="shared" si="5"/>
        <v>0</v>
      </c>
    </row>
    <row r="47" spans="2:8" x14ac:dyDescent="0.25">
      <c r="B47" s="26">
        <v>44</v>
      </c>
      <c r="C47" s="52">
        <f t="shared" si="0"/>
        <v>0.10865726471480185</v>
      </c>
      <c r="D47" s="52">
        <f t="shared" si="1"/>
        <v>8.7921961526698345E-2</v>
      </c>
      <c r="E47" s="48">
        <f t="shared" si="2"/>
        <v>-2.0735303188103502E-2</v>
      </c>
      <c r="F47" s="48">
        <f t="shared" si="3"/>
        <v>-1.0421523491999965E-2</v>
      </c>
      <c r="G47" s="48">
        <f t="shared" si="4"/>
        <v>9.8235741222801876E-2</v>
      </c>
      <c r="H47" s="30">
        <f t="shared" si="5"/>
        <v>0</v>
      </c>
    </row>
    <row r="48" spans="2:8" x14ac:dyDescent="0.25">
      <c r="B48" s="26">
        <v>45</v>
      </c>
      <c r="C48" s="52">
        <f t="shared" si="0"/>
        <v>0.10867252849450271</v>
      </c>
      <c r="D48" s="52">
        <f t="shared" si="1"/>
        <v>8.7932880027034033E-2</v>
      </c>
      <c r="E48" s="48">
        <f t="shared" si="2"/>
        <v>-2.0739648467468674E-2</v>
      </c>
      <c r="F48" s="48">
        <f t="shared" si="3"/>
        <v>-1.0423707421049503E-2</v>
      </c>
      <c r="G48" s="48">
        <f t="shared" si="4"/>
        <v>9.8248821073453202E-2</v>
      </c>
      <c r="H48" s="30">
        <f t="shared" si="5"/>
        <v>0</v>
      </c>
    </row>
    <row r="49" spans="1:21" x14ac:dyDescent="0.25">
      <c r="B49" s="26">
        <v>46</v>
      </c>
      <c r="C49" s="52">
        <f t="shared" si="0"/>
        <v>0.10865726471480185</v>
      </c>
      <c r="D49" s="52">
        <f t="shared" si="1"/>
        <v>8.7921961526698345E-2</v>
      </c>
      <c r="E49" s="48">
        <f t="shared" si="2"/>
        <v>-2.0735303188103502E-2</v>
      </c>
      <c r="F49" s="48">
        <f t="shared" si="3"/>
        <v>-1.0421523491999965E-2</v>
      </c>
      <c r="G49" s="48">
        <f t="shared" si="4"/>
        <v>9.8235741222801876E-2</v>
      </c>
      <c r="H49" s="30">
        <f t="shared" si="5"/>
        <v>0</v>
      </c>
    </row>
    <row r="50" spans="1:21" x14ac:dyDescent="0.25">
      <c r="B50" s="26">
        <v>47</v>
      </c>
      <c r="C50" s="52">
        <f t="shared" si="0"/>
        <v>0.26697263616116279</v>
      </c>
      <c r="D50" s="52">
        <f t="shared" si="1"/>
        <v>0.26064585390490097</v>
      </c>
      <c r="E50" s="48">
        <f t="shared" si="2"/>
        <v>-6.3267822562618203E-3</v>
      </c>
      <c r="F50" s="48">
        <f t="shared" si="3"/>
        <v>-3.1798285906053177E-3</v>
      </c>
      <c r="G50" s="48">
        <f t="shared" si="4"/>
        <v>0.26379280757055745</v>
      </c>
      <c r="H50" s="30">
        <f t="shared" si="5"/>
        <v>0</v>
      </c>
    </row>
    <row r="51" spans="1:21" x14ac:dyDescent="0.25">
      <c r="B51" s="26">
        <v>48</v>
      </c>
      <c r="C51" s="52">
        <f t="shared" si="0"/>
        <v>0.10865726471480185</v>
      </c>
      <c r="D51" s="52">
        <f t="shared" si="1"/>
        <v>8.7921961526698345E-2</v>
      </c>
      <c r="E51" s="48">
        <f t="shared" si="2"/>
        <v>-2.0735303188103502E-2</v>
      </c>
      <c r="F51" s="48">
        <f t="shared" si="3"/>
        <v>-1.0421523491999965E-2</v>
      </c>
      <c r="G51" s="48">
        <f t="shared" si="4"/>
        <v>9.8235741222801876E-2</v>
      </c>
      <c r="H51" s="30">
        <f t="shared" si="5"/>
        <v>0</v>
      </c>
    </row>
    <row r="52" spans="1:21" x14ac:dyDescent="0.25">
      <c r="B52" s="26">
        <v>49</v>
      </c>
      <c r="C52" s="52">
        <f t="shared" si="0"/>
        <v>0.15241194609444156</v>
      </c>
      <c r="D52" s="52">
        <f t="shared" si="1"/>
        <v>0.14568078669873447</v>
      </c>
      <c r="E52" s="48">
        <f t="shared" si="2"/>
        <v>-6.7311593957070925E-3</v>
      </c>
      <c r="F52" s="48">
        <f t="shared" si="3"/>
        <v>-3.3830677629543616E-3</v>
      </c>
      <c r="G52" s="48">
        <f t="shared" si="4"/>
        <v>0.1490288783314872</v>
      </c>
      <c r="H52" s="30">
        <f t="shared" si="5"/>
        <v>0</v>
      </c>
    </row>
    <row r="53" spans="1:21" x14ac:dyDescent="0.25">
      <c r="B53" s="26">
        <v>50</v>
      </c>
      <c r="C53" s="52">
        <f t="shared" si="0"/>
        <v>0.10865726471480185</v>
      </c>
      <c r="D53" s="52">
        <f t="shared" si="1"/>
        <v>8.7921961526698345E-2</v>
      </c>
      <c r="E53" s="48">
        <f t="shared" si="2"/>
        <v>-2.0735303188103502E-2</v>
      </c>
      <c r="F53" s="48">
        <f t="shared" si="3"/>
        <v>-1.0421523491999965E-2</v>
      </c>
      <c r="G53" s="48">
        <f t="shared" si="4"/>
        <v>9.8235741222801876E-2</v>
      </c>
      <c r="H53" s="30">
        <f t="shared" si="5"/>
        <v>0</v>
      </c>
    </row>
    <row r="54" spans="1:21" x14ac:dyDescent="0.25">
      <c r="E54" s="32"/>
      <c r="F54" s="32"/>
    </row>
    <row r="55" spans="1:21" x14ac:dyDescent="0.25">
      <c r="F55" s="26" t="s">
        <v>85</v>
      </c>
      <c r="G55" s="29">
        <f>IF(H4=0,0,100*H55/H4)</f>
        <v>0</v>
      </c>
      <c r="H55" s="29">
        <f>SQRT(SUMSQ(H5:H53))</f>
        <v>0</v>
      </c>
      <c r="I55" s="26" t="s">
        <v>52</v>
      </c>
    </row>
    <row r="56" spans="1:21" x14ac:dyDescent="0.25">
      <c r="F56" s="26" t="s">
        <v>86</v>
      </c>
      <c r="G56" s="29">
        <f>SQRT(SUMSQ(G4:G53))</f>
        <v>105.18666042666132</v>
      </c>
      <c r="H56" s="29">
        <f>SQRT(SUMSQ(H4:H53))</f>
        <v>0</v>
      </c>
      <c r="I56" s="26" t="s">
        <v>54</v>
      </c>
    </row>
    <row r="57" spans="1:21" x14ac:dyDescent="0.25">
      <c r="G57" s="26" t="s">
        <v>87</v>
      </c>
      <c r="H57" s="26" t="s">
        <v>13</v>
      </c>
    </row>
    <row r="59" spans="1:21" x14ac:dyDescent="0.25">
      <c r="A59" s="25" t="s">
        <v>63</v>
      </c>
      <c r="C59" s="36"/>
      <c r="D59" s="36"/>
      <c r="E59" s="36"/>
      <c r="F59" s="36"/>
      <c r="G59" s="36"/>
      <c r="H59" s="36"/>
      <c r="I59" s="36"/>
      <c r="J59" s="36"/>
      <c r="K59" s="36"/>
      <c r="L59" s="36"/>
      <c r="M59" s="36"/>
      <c r="N59" s="36"/>
      <c r="O59" s="36"/>
      <c r="P59" s="36"/>
      <c r="Q59" s="36"/>
      <c r="R59" s="36"/>
      <c r="S59" s="36"/>
    </row>
    <row r="60" spans="1:21" ht="14.4" x14ac:dyDescent="0.3">
      <c r="C60" s="1" t="s">
        <v>478</v>
      </c>
      <c r="D60" s="7">
        <f>100/D62</f>
        <v>1000</v>
      </c>
      <c r="E60" s="7">
        <f t="shared" ref="E60:U60" si="6">100/E62</f>
        <v>200</v>
      </c>
      <c r="F60" s="7">
        <f t="shared" si="6"/>
        <v>100</v>
      </c>
      <c r="G60" s="7">
        <f t="shared" si="6"/>
        <v>50</v>
      </c>
      <c r="H60" s="7">
        <f t="shared" si="6"/>
        <v>33.333333333333336</v>
      </c>
      <c r="I60" s="7">
        <f t="shared" si="6"/>
        <v>25</v>
      </c>
      <c r="J60" s="7">
        <f t="shared" si="6"/>
        <v>20</v>
      </c>
      <c r="K60" s="7">
        <f t="shared" si="6"/>
        <v>16.666666666666668</v>
      </c>
      <c r="L60" s="7">
        <f t="shared" si="6"/>
        <v>14.285714285714286</v>
      </c>
      <c r="M60" s="7">
        <f t="shared" si="6"/>
        <v>12.5</v>
      </c>
      <c r="N60" s="7">
        <f t="shared" si="6"/>
        <v>10</v>
      </c>
      <c r="O60" s="7">
        <f t="shared" si="6"/>
        <v>8.3333333333333339</v>
      </c>
      <c r="P60" s="7">
        <f t="shared" si="6"/>
        <v>7.1428571428571432</v>
      </c>
      <c r="Q60" s="7">
        <f t="shared" si="6"/>
        <v>5.5555555555555554</v>
      </c>
      <c r="R60" s="7">
        <f t="shared" si="6"/>
        <v>4.7619047619047619</v>
      </c>
      <c r="S60" s="7">
        <f t="shared" si="6"/>
        <v>1</v>
      </c>
      <c r="T60" s="7">
        <f t="shared" si="6"/>
        <v>0.1</v>
      </c>
      <c r="U60" s="7">
        <f t="shared" si="6"/>
        <v>0.01</v>
      </c>
    </row>
    <row r="61" spans="1:21" ht="14.4" x14ac:dyDescent="0.3">
      <c r="C61" s="1" t="s">
        <v>64</v>
      </c>
      <c r="D61">
        <v>0</v>
      </c>
      <c r="E61">
        <v>1</v>
      </c>
      <c r="F61">
        <v>2</v>
      </c>
      <c r="G61">
        <v>3</v>
      </c>
      <c r="H61">
        <v>4</v>
      </c>
      <c r="I61">
        <v>5</v>
      </c>
      <c r="J61">
        <v>6</v>
      </c>
      <c r="K61">
        <v>7</v>
      </c>
      <c r="L61">
        <v>8</v>
      </c>
      <c r="M61">
        <v>9</v>
      </c>
      <c r="N61">
        <v>10</v>
      </c>
      <c r="O61">
        <v>11</v>
      </c>
      <c r="P61">
        <v>12</v>
      </c>
      <c r="Q61">
        <v>13</v>
      </c>
      <c r="R61">
        <v>14</v>
      </c>
      <c r="S61">
        <v>15</v>
      </c>
      <c r="T61">
        <v>16</v>
      </c>
      <c r="U61">
        <v>17</v>
      </c>
    </row>
    <row r="62" spans="1:21" ht="14.4" x14ac:dyDescent="0.3">
      <c r="A62" s="26" t="s">
        <v>65</v>
      </c>
      <c r="B62" s="54"/>
      <c r="C62" s="216" t="s">
        <v>1</v>
      </c>
      <c r="D62" s="296">
        <v>0.1</v>
      </c>
      <c r="E62" s="296">
        <v>0.5</v>
      </c>
      <c r="F62" s="296">
        <v>1</v>
      </c>
      <c r="G62" s="296">
        <v>2</v>
      </c>
      <c r="H62" s="296">
        <v>3</v>
      </c>
      <c r="I62" s="296">
        <v>4</v>
      </c>
      <c r="J62" s="296">
        <v>5</v>
      </c>
      <c r="K62" s="296">
        <v>6</v>
      </c>
      <c r="L62" s="296">
        <v>7</v>
      </c>
      <c r="M62" s="296">
        <v>8</v>
      </c>
      <c r="N62" s="296">
        <v>10</v>
      </c>
      <c r="O62" s="296">
        <v>12</v>
      </c>
      <c r="P62" s="296">
        <v>14</v>
      </c>
      <c r="Q62" s="296">
        <v>18</v>
      </c>
      <c r="R62" s="296">
        <v>21</v>
      </c>
      <c r="S62" s="296">
        <v>100</v>
      </c>
      <c r="T62" s="296">
        <v>1000</v>
      </c>
      <c r="U62" s="296">
        <v>10000</v>
      </c>
    </row>
    <row r="63" spans="1:21" ht="14.4" x14ac:dyDescent="0.3">
      <c r="A63" s="31"/>
      <c r="C63" s="1" t="s">
        <v>64</v>
      </c>
      <c r="D63">
        <v>0</v>
      </c>
      <c r="E63">
        <v>1</v>
      </c>
      <c r="F63">
        <v>2</v>
      </c>
      <c r="G63">
        <v>3</v>
      </c>
      <c r="H63">
        <v>4</v>
      </c>
      <c r="I63">
        <v>5</v>
      </c>
      <c r="J63">
        <v>6</v>
      </c>
      <c r="K63">
        <v>7</v>
      </c>
      <c r="L63">
        <v>8</v>
      </c>
      <c r="M63">
        <v>9</v>
      </c>
      <c r="N63">
        <v>10</v>
      </c>
      <c r="O63">
        <v>11</v>
      </c>
      <c r="P63">
        <v>12</v>
      </c>
      <c r="Q63">
        <v>13</v>
      </c>
      <c r="R63">
        <v>14</v>
      </c>
      <c r="S63">
        <v>15</v>
      </c>
      <c r="T63">
        <v>16</v>
      </c>
      <c r="U63">
        <v>17</v>
      </c>
    </row>
    <row r="64" spans="1:21" ht="14.4" x14ac:dyDescent="0.3">
      <c r="A64" s="43">
        <v>2</v>
      </c>
      <c r="B64" s="43"/>
      <c r="C64" s="1"/>
      <c r="D64" s="298">
        <v>1.7291324964220301E-2</v>
      </c>
      <c r="E64" s="298">
        <v>6.6998018440489568E-2</v>
      </c>
      <c r="F64" s="298">
        <v>0.12416560747379798</v>
      </c>
      <c r="G64" s="298">
        <v>0.19164678959143519</v>
      </c>
      <c r="H64" s="298">
        <v>3.2432337711389723E-2</v>
      </c>
      <c r="I64" s="298">
        <v>2.6794917304969575E-2</v>
      </c>
      <c r="J64" s="298">
        <v>1.0787351058726545E-2</v>
      </c>
      <c r="K64" s="298">
        <v>1.5488830696511377E-2</v>
      </c>
      <c r="L64" s="298">
        <v>1.1120918013740941E-2</v>
      </c>
      <c r="M64" s="298">
        <v>1.2571907703050382E-2</v>
      </c>
      <c r="N64" s="298">
        <v>2.636287592484499E-2</v>
      </c>
      <c r="O64" s="298">
        <v>3.9068771982494086E-3</v>
      </c>
      <c r="P64" s="298">
        <v>1.783236037225493E-2</v>
      </c>
      <c r="Q64" s="298">
        <v>6.5715038062707058E-3</v>
      </c>
      <c r="R64" s="298">
        <v>5.7146036546192576E-3</v>
      </c>
      <c r="S64" s="298">
        <v>5.7146036546192576E-3</v>
      </c>
      <c r="T64" s="298">
        <v>5.7146036546192576E-3</v>
      </c>
      <c r="U64" s="298">
        <v>5.7146036546192576E-3</v>
      </c>
    </row>
    <row r="65" spans="1:21" ht="14.4" x14ac:dyDescent="0.3">
      <c r="A65" s="43">
        <v>3</v>
      </c>
      <c r="B65" s="43"/>
      <c r="C65" s="1"/>
      <c r="D65" s="298">
        <v>0.55385104430828935</v>
      </c>
      <c r="E65" s="298">
        <v>8.5473774716319078</v>
      </c>
      <c r="F65" s="298">
        <v>4.3857615521600959</v>
      </c>
      <c r="G65" s="298">
        <v>4.8916763402676038</v>
      </c>
      <c r="H65" s="298">
        <v>5.107248510230364</v>
      </c>
      <c r="I65" s="298">
        <v>6.2072885442798249</v>
      </c>
      <c r="J65" s="298">
        <v>7.7608557639223745</v>
      </c>
      <c r="K65" s="298">
        <v>5.1365577880102951</v>
      </c>
      <c r="L65" s="298">
        <v>3.7115343236794409</v>
      </c>
      <c r="M65" s="298">
        <v>2.8652501742303245</v>
      </c>
      <c r="N65" s="298">
        <v>1.976424393859703</v>
      </c>
      <c r="O65" s="298">
        <v>1.512989131711088</v>
      </c>
      <c r="P65" s="298">
        <v>1.2479844012146544</v>
      </c>
      <c r="Q65" s="298">
        <v>0.90186138282906037</v>
      </c>
      <c r="R65" s="298">
        <v>0.8611207071065603</v>
      </c>
      <c r="S65" s="298">
        <v>0.8611207071065603</v>
      </c>
      <c r="T65" s="298">
        <v>0.8611207071065603</v>
      </c>
      <c r="U65" s="298">
        <v>0.8611207071065603</v>
      </c>
    </row>
    <row r="66" spans="1:21" ht="14.4" x14ac:dyDescent="0.3">
      <c r="A66" s="43">
        <v>4</v>
      </c>
      <c r="B66" s="43"/>
      <c r="C66" s="1"/>
      <c r="D66" s="298">
        <v>0.13520250276733159</v>
      </c>
      <c r="E66" s="298">
        <v>2.8695360144102396E-2</v>
      </c>
      <c r="F66" s="298">
        <v>0.11237654569855723</v>
      </c>
      <c r="G66" s="298">
        <v>0.1270693443534559</v>
      </c>
      <c r="H66" s="298">
        <v>2.9673650735424224E-2</v>
      </c>
      <c r="I66" s="298">
        <v>2.1212221057019379E-2</v>
      </c>
      <c r="J66" s="298">
        <v>1.8916758051922035E-2</v>
      </c>
      <c r="K66" s="298">
        <v>2.4591818946340816E-2</v>
      </c>
      <c r="L66" s="298">
        <v>2.2309871990685983E-2</v>
      </c>
      <c r="M66" s="298">
        <v>1.4672119245636975E-2</v>
      </c>
      <c r="N66" s="298">
        <v>3.4977738354405041E-3</v>
      </c>
      <c r="O66" s="298">
        <v>3.318391374383355E-3</v>
      </c>
      <c r="P66" s="298">
        <v>1.8380050856337499E-2</v>
      </c>
      <c r="Q66" s="298">
        <v>5.7240454854559945E-3</v>
      </c>
      <c r="R66" s="298">
        <v>1.5847873572736098E-3</v>
      </c>
      <c r="S66" s="298">
        <v>1.5847873572736098E-3</v>
      </c>
      <c r="T66" s="298">
        <v>1.5847873572736098E-3</v>
      </c>
      <c r="U66" s="298">
        <v>1.5847873572736098E-3</v>
      </c>
    </row>
    <row r="67" spans="1:21" ht="14.4" x14ac:dyDescent="0.3">
      <c r="A67" s="43">
        <v>5</v>
      </c>
      <c r="B67" s="43"/>
      <c r="C67" s="1"/>
      <c r="D67" s="298">
        <v>93.368748010282204</v>
      </c>
      <c r="E67" s="298">
        <v>82.87682728374898</v>
      </c>
      <c r="F67" s="298">
        <v>73.247221838386295</v>
      </c>
      <c r="G67" s="298">
        <v>60.831459052554194</v>
      </c>
      <c r="H67" s="298">
        <v>49.382828970020235</v>
      </c>
      <c r="I67" s="298">
        <v>41.72752692184784</v>
      </c>
      <c r="J67" s="298">
        <v>37.27946499417164</v>
      </c>
      <c r="K67" s="298">
        <v>34.240442443062605</v>
      </c>
      <c r="L67" s="298">
        <v>31.801834469310585</v>
      </c>
      <c r="M67" s="298">
        <v>29.833911528390878</v>
      </c>
      <c r="N67" s="298">
        <v>26.829447444032468</v>
      </c>
      <c r="O67" s="298">
        <v>24.524377947577921</v>
      </c>
      <c r="P67" s="298">
        <v>22.666145948519805</v>
      </c>
      <c r="Q67" s="298">
        <v>19.683481307529799</v>
      </c>
      <c r="R67" s="298">
        <v>19.55420880107971</v>
      </c>
      <c r="S67" s="298">
        <v>19.55420880107971</v>
      </c>
      <c r="T67" s="298">
        <v>19.55420880107971</v>
      </c>
      <c r="U67" s="298">
        <v>19.55420880107971</v>
      </c>
    </row>
    <row r="68" spans="1:21" ht="14.4" x14ac:dyDescent="0.3">
      <c r="A68" s="43">
        <v>6</v>
      </c>
      <c r="B68" s="43"/>
      <c r="C68" s="1"/>
      <c r="D68" s="298">
        <v>6.8818496078623531E-2</v>
      </c>
      <c r="E68" s="298">
        <v>5.2936191485114158E-2</v>
      </c>
      <c r="F68" s="298">
        <v>7.0102641631974985E-3</v>
      </c>
      <c r="G68" s="298">
        <v>1.1862351899176933E-2</v>
      </c>
      <c r="H68" s="298">
        <v>1.9222702695116914E-3</v>
      </c>
      <c r="I68" s="298">
        <v>1.1087146410300954E-2</v>
      </c>
      <c r="J68" s="298">
        <v>6.7285132893848583E-3</v>
      </c>
      <c r="K68" s="298">
        <v>4.5194792975590103E-3</v>
      </c>
      <c r="L68" s="298">
        <v>6.0169639857389576E-3</v>
      </c>
      <c r="M68" s="298">
        <v>7.3330327729595772E-3</v>
      </c>
      <c r="N68" s="298">
        <v>4.9368015428742544E-3</v>
      </c>
      <c r="O68" s="298">
        <v>2.1005572354824645E-3</v>
      </c>
      <c r="P68" s="298">
        <v>9.2816222816082712E-3</v>
      </c>
      <c r="Q68" s="298">
        <v>3.8021989595571734E-3</v>
      </c>
      <c r="R68" s="298">
        <v>2.6949365909897677E-3</v>
      </c>
      <c r="S68" s="298">
        <v>2.6949365909897677E-3</v>
      </c>
      <c r="T68" s="298">
        <v>2.6949365909897677E-3</v>
      </c>
      <c r="U68" s="298">
        <v>2.6949365909897677E-3</v>
      </c>
    </row>
    <row r="69" spans="1:21" ht="14.4" x14ac:dyDescent="0.3">
      <c r="A69" s="43">
        <v>7</v>
      </c>
      <c r="B69" s="43"/>
      <c r="C69" s="1"/>
      <c r="D69" s="298">
        <v>85.792929223620419</v>
      </c>
      <c r="E69" s="298">
        <v>65.67536665068971</v>
      </c>
      <c r="F69" s="298">
        <v>52.471101352240538</v>
      </c>
      <c r="G69" s="298">
        <v>34.473926081721721</v>
      </c>
      <c r="H69" s="298">
        <v>20.70483242585701</v>
      </c>
      <c r="I69" s="298">
        <v>13.8859457017344</v>
      </c>
      <c r="J69" s="298">
        <v>10.407370469722119</v>
      </c>
      <c r="K69" s="298">
        <v>8.4234250472584673</v>
      </c>
      <c r="L69" s="298">
        <v>7.3447486655802345</v>
      </c>
      <c r="M69" s="298">
        <v>6.8022663683683335</v>
      </c>
      <c r="N69" s="298">
        <v>6.5166708279323533</v>
      </c>
      <c r="O69" s="298">
        <v>6.6273860488121423</v>
      </c>
      <c r="P69" s="298">
        <v>6.8022403042729351</v>
      </c>
      <c r="Q69" s="298">
        <v>6.987229811341364</v>
      </c>
      <c r="R69" s="298">
        <v>7.326010337515557</v>
      </c>
      <c r="S69" s="298">
        <v>7.326010337515557</v>
      </c>
      <c r="T69" s="298">
        <v>7.326010337515557</v>
      </c>
      <c r="U69" s="298">
        <v>7.326010337515557</v>
      </c>
    </row>
    <row r="70" spans="1:21" ht="14.4" x14ac:dyDescent="0.3">
      <c r="A70" s="43">
        <v>8</v>
      </c>
      <c r="B70" s="43"/>
      <c r="C70" s="1"/>
      <c r="D70" s="298">
        <v>0.15207091572872264</v>
      </c>
      <c r="E70" s="298">
        <v>5.2891824469196221E-2</v>
      </c>
      <c r="F70" s="298">
        <v>5.7040082585237739E-2</v>
      </c>
      <c r="G70" s="298">
        <v>1.9116049168177565E-2</v>
      </c>
      <c r="H70" s="298">
        <v>2.3564987660073828E-2</v>
      </c>
      <c r="I70" s="298">
        <v>8.5355102461392024E-3</v>
      </c>
      <c r="J70" s="298">
        <v>1.9603945043945102E-2</v>
      </c>
      <c r="K70" s="298">
        <v>1.2636657164619786E-2</v>
      </c>
      <c r="L70" s="298">
        <v>1.0643351525778579E-2</v>
      </c>
      <c r="M70" s="298">
        <v>4.3473848598230228E-3</v>
      </c>
      <c r="N70" s="298">
        <v>2.5415807506222721E-3</v>
      </c>
      <c r="O70" s="298">
        <v>1.2216655309818655E-3</v>
      </c>
      <c r="P70" s="298">
        <v>6.4595461603830819E-3</v>
      </c>
      <c r="Q70" s="298">
        <v>1.3983813924981661E-3</v>
      </c>
      <c r="R70" s="298">
        <v>3.4056178014729927E-3</v>
      </c>
      <c r="S70" s="298">
        <v>3.4056178014729927E-3</v>
      </c>
      <c r="T70" s="298">
        <v>3.4056178014729927E-3</v>
      </c>
      <c r="U70" s="298">
        <v>3.4056178014729927E-3</v>
      </c>
    </row>
    <row r="71" spans="1:21" ht="14.4" x14ac:dyDescent="0.3">
      <c r="A71" s="43">
        <v>9</v>
      </c>
      <c r="B71" s="43"/>
      <c r="C71" s="1"/>
      <c r="D71" s="298">
        <v>1.154353524821659</v>
      </c>
      <c r="E71" s="298">
        <v>3.5914593530271834</v>
      </c>
      <c r="F71" s="298">
        <v>0.66156600737101889</v>
      </c>
      <c r="G71" s="298">
        <v>0.60368769264829547</v>
      </c>
      <c r="H71" s="298">
        <v>0.42447764331950832</v>
      </c>
      <c r="I71" s="298">
        <v>1.0648962156533353</v>
      </c>
      <c r="J71" s="298">
        <v>1.5532650518305111</v>
      </c>
      <c r="K71" s="298">
        <v>0.98716445545758624</v>
      </c>
      <c r="L71" s="298">
        <v>0.68104076968532634</v>
      </c>
      <c r="M71" s="298">
        <v>0.50610374236669098</v>
      </c>
      <c r="N71" s="298">
        <v>0.31868142208094846</v>
      </c>
      <c r="O71" s="298">
        <v>0.22626624756676589</v>
      </c>
      <c r="P71" s="298">
        <v>0.1789795622711387</v>
      </c>
      <c r="Q71" s="298">
        <v>0.13966052871548112</v>
      </c>
      <c r="R71" s="298">
        <v>0.13247290047204982</v>
      </c>
      <c r="S71" s="298">
        <v>0.13247290047204982</v>
      </c>
      <c r="T71" s="298">
        <v>0.13247290047204982</v>
      </c>
      <c r="U71" s="298">
        <v>0.13247290047204982</v>
      </c>
    </row>
    <row r="72" spans="1:21" ht="14.4" x14ac:dyDescent="0.3">
      <c r="A72" s="43">
        <v>10</v>
      </c>
      <c r="B72" s="43"/>
      <c r="C72" s="1"/>
      <c r="D72" s="298">
        <v>0.2294007148283545</v>
      </c>
      <c r="E72" s="298">
        <v>4.67408371331944E-2</v>
      </c>
      <c r="F72" s="298">
        <v>3.9171017790739594E-2</v>
      </c>
      <c r="G72" s="298">
        <v>3.1896110289054799E-2</v>
      </c>
      <c r="H72" s="298">
        <v>9.7072760067846587E-3</v>
      </c>
      <c r="I72" s="298">
        <v>1.3760275349404955E-2</v>
      </c>
      <c r="J72" s="298">
        <v>1.2351163020258928E-2</v>
      </c>
      <c r="K72" s="298">
        <v>7.8770677291336265E-3</v>
      </c>
      <c r="L72" s="298">
        <v>6.6241460677741474E-3</v>
      </c>
      <c r="M72" s="298">
        <v>9.5446111698385379E-4</v>
      </c>
      <c r="N72" s="298">
        <v>5.9000829249238182E-3</v>
      </c>
      <c r="O72" s="298">
        <v>2.8410236973985879E-3</v>
      </c>
      <c r="P72" s="298">
        <v>3.0933034144878684E-3</v>
      </c>
      <c r="Q72" s="298">
        <v>1.7024651539385351E-3</v>
      </c>
      <c r="R72" s="298">
        <v>3.8405411483555876E-3</v>
      </c>
      <c r="S72" s="298">
        <v>3.8405411483555876E-3</v>
      </c>
      <c r="T72" s="298">
        <v>3.8405411483555876E-3</v>
      </c>
      <c r="U72" s="298">
        <v>3.8405411483555876E-3</v>
      </c>
    </row>
    <row r="73" spans="1:21" ht="14.4" x14ac:dyDescent="0.3">
      <c r="A73" s="43">
        <v>11</v>
      </c>
      <c r="B73" s="43"/>
      <c r="C73" s="1"/>
      <c r="D73" s="298">
        <v>69.048567707776243</v>
      </c>
      <c r="E73" s="298">
        <v>33.685348584817774</v>
      </c>
      <c r="F73" s="298">
        <v>15.583787301158949</v>
      </c>
      <c r="G73" s="298">
        <v>6.5636008603412694</v>
      </c>
      <c r="H73" s="298">
        <v>7.6797975872700235</v>
      </c>
      <c r="I73" s="298">
        <v>7.4570840283088478</v>
      </c>
      <c r="J73" s="298">
        <v>6.9055670232180777</v>
      </c>
      <c r="K73" s="298">
        <v>6.5341193000171698</v>
      </c>
      <c r="L73" s="298">
        <v>6.0786150094839924</v>
      </c>
      <c r="M73" s="298">
        <v>5.6151234987755405</v>
      </c>
      <c r="N73" s="298">
        <v>4.7731220793376856</v>
      </c>
      <c r="O73" s="298">
        <v>4.037747204995374</v>
      </c>
      <c r="P73" s="298">
        <v>3.4442053406397228</v>
      </c>
      <c r="Q73" s="298">
        <v>2.6571079286057731</v>
      </c>
      <c r="R73" s="298">
        <v>2.6319335627413896</v>
      </c>
      <c r="S73" s="298">
        <v>2.6319335627413896</v>
      </c>
      <c r="T73" s="298">
        <v>2.6319335627413896</v>
      </c>
      <c r="U73" s="298">
        <v>2.6319335627413896</v>
      </c>
    </row>
    <row r="74" spans="1:21" ht="14.4" x14ac:dyDescent="0.3">
      <c r="A74" s="43">
        <v>12</v>
      </c>
      <c r="B74" s="43"/>
      <c r="C74" s="1"/>
      <c r="D74" s="298">
        <v>4.3926126021925166E-2</v>
      </c>
      <c r="E74" s="298">
        <v>1.2877494467594758E-2</v>
      </c>
      <c r="F74" s="298">
        <v>4.5954157397374695E-3</v>
      </c>
      <c r="G74" s="298">
        <v>5.329225146697902E-3</v>
      </c>
      <c r="H74" s="298">
        <v>1.7455825337836627E-3</v>
      </c>
      <c r="I74" s="298">
        <v>6.1922252654432195E-3</v>
      </c>
      <c r="J74" s="298">
        <v>4.6340307760456886E-3</v>
      </c>
      <c r="K74" s="298">
        <v>1.2658928420938899E-3</v>
      </c>
      <c r="L74" s="298">
        <v>7.2345470714335765E-4</v>
      </c>
      <c r="M74" s="298">
        <v>2.8137542278655172E-3</v>
      </c>
      <c r="N74" s="298">
        <v>3.3387817150023614E-3</v>
      </c>
      <c r="O74" s="298">
        <v>7.0415228820549169E-4</v>
      </c>
      <c r="P74" s="298">
        <v>3.2866827675993235E-3</v>
      </c>
      <c r="Q74" s="298">
        <v>2.129932191298423E-3</v>
      </c>
      <c r="R74" s="298">
        <v>3.0726078205235829E-3</v>
      </c>
      <c r="S74" s="298">
        <v>3.0726078205235829E-3</v>
      </c>
      <c r="T74" s="298">
        <v>3.0726078205235829E-3</v>
      </c>
      <c r="U74" s="298">
        <v>3.0726078205235829E-3</v>
      </c>
    </row>
    <row r="75" spans="1:21" ht="14.4" x14ac:dyDescent="0.3">
      <c r="A75" s="43">
        <v>13</v>
      </c>
      <c r="B75" s="43"/>
      <c r="C75" s="1"/>
      <c r="D75" s="298">
        <v>57.626071680473594</v>
      </c>
      <c r="E75" s="298">
        <v>19.008833408591933</v>
      </c>
      <c r="F75" s="298">
        <v>6.0811074483745449</v>
      </c>
      <c r="G75" s="298">
        <v>6.4203508662030933</v>
      </c>
      <c r="H75" s="298">
        <v>4.053836065316168</v>
      </c>
      <c r="I75" s="298">
        <v>3.136813925533426</v>
      </c>
      <c r="J75" s="298">
        <v>3.2687886565984781</v>
      </c>
      <c r="K75" s="298">
        <v>3.1927019928471165</v>
      </c>
      <c r="L75" s="298">
        <v>3.1590323561450395</v>
      </c>
      <c r="M75" s="298">
        <v>3.1114405010378423</v>
      </c>
      <c r="N75" s="298">
        <v>2.9413990501469054</v>
      </c>
      <c r="O75" s="298">
        <v>2.6891381919916104</v>
      </c>
      <c r="P75" s="298">
        <v>2.4129113867682368</v>
      </c>
      <c r="Q75" s="298">
        <v>1.9019132140355048</v>
      </c>
      <c r="R75" s="298">
        <v>1.9731316672454773</v>
      </c>
      <c r="S75" s="298">
        <v>1.9731316672454773</v>
      </c>
      <c r="T75" s="298">
        <v>1.9731316672454773</v>
      </c>
      <c r="U75" s="298">
        <v>1.9731316672454773</v>
      </c>
    </row>
    <row r="76" spans="1:21" ht="14.4" x14ac:dyDescent="0.3">
      <c r="A76" s="43">
        <v>14</v>
      </c>
      <c r="B76" s="43"/>
      <c r="C76" s="1"/>
      <c r="D76" s="298">
        <v>0.20927403927484672</v>
      </c>
      <c r="E76" s="298">
        <v>5.5602611265487843E-2</v>
      </c>
      <c r="F76" s="298">
        <v>4.0150680983375708E-2</v>
      </c>
      <c r="G76" s="298">
        <v>1.1364022598705132E-2</v>
      </c>
      <c r="H76" s="298">
        <v>1.5808693433503308E-2</v>
      </c>
      <c r="I76" s="298">
        <v>1.1300571663228018E-2</v>
      </c>
      <c r="J76" s="298">
        <v>1.3986444352451872E-2</v>
      </c>
      <c r="K76" s="298">
        <v>1.3726550136797936E-2</v>
      </c>
      <c r="L76" s="298">
        <v>1.2922710779955417E-2</v>
      </c>
      <c r="M76" s="298">
        <v>6.7573395777536377E-3</v>
      </c>
      <c r="N76" s="298">
        <v>6.0541163970223889E-3</v>
      </c>
      <c r="O76" s="298">
        <v>8.8566143641728831E-4</v>
      </c>
      <c r="P76" s="298">
        <v>4.5856434142929501E-3</v>
      </c>
      <c r="Q76" s="298">
        <v>2.3769049086772155E-3</v>
      </c>
      <c r="R76" s="298">
        <v>2.1687917940923906E-3</v>
      </c>
      <c r="S76" s="298">
        <v>2.1687917940923906E-3</v>
      </c>
      <c r="T76" s="298">
        <v>2.1687917940923906E-3</v>
      </c>
      <c r="U76" s="298">
        <v>2.1687917940923906E-3</v>
      </c>
    </row>
    <row r="77" spans="1:21" ht="14.4" x14ac:dyDescent="0.3">
      <c r="A77" s="43">
        <v>15</v>
      </c>
      <c r="B77" s="43"/>
      <c r="C77" s="1"/>
      <c r="D77" s="298">
        <v>1.136851568371505</v>
      </c>
      <c r="E77" s="298">
        <v>0.23095610968918576</v>
      </c>
      <c r="F77" s="298">
        <v>0.45935010470309795</v>
      </c>
      <c r="G77" s="298">
        <v>0.33979479464125767</v>
      </c>
      <c r="H77" s="298">
        <v>0.19877874639876153</v>
      </c>
      <c r="I77" s="298">
        <v>0.6117370588990978</v>
      </c>
      <c r="J77" s="298">
        <v>0.7739736036483279</v>
      </c>
      <c r="K77" s="298">
        <v>0.47689818111624066</v>
      </c>
      <c r="L77" s="298">
        <v>0.32445444976062632</v>
      </c>
      <c r="M77" s="298">
        <v>0.24590737646040681</v>
      </c>
      <c r="N77" s="298">
        <v>0.17863761703347875</v>
      </c>
      <c r="O77" s="298">
        <v>0.15238590146764369</v>
      </c>
      <c r="P77" s="298">
        <v>0.13879587874692803</v>
      </c>
      <c r="Q77" s="298">
        <v>0.10849930149243135</v>
      </c>
      <c r="R77" s="298">
        <v>0.10438708261063094</v>
      </c>
      <c r="S77" s="298">
        <v>0.10438708261063094</v>
      </c>
      <c r="T77" s="298">
        <v>0.10438708261063094</v>
      </c>
      <c r="U77" s="298">
        <v>0.10438708261063094</v>
      </c>
    </row>
    <row r="78" spans="1:21" ht="14.4" x14ac:dyDescent="0.3">
      <c r="A78" s="43">
        <v>16</v>
      </c>
      <c r="B78" s="43"/>
      <c r="C78" s="1"/>
      <c r="D78" s="298">
        <v>0.21260480542905863</v>
      </c>
      <c r="E78" s="298">
        <v>5.5251059810874539E-2</v>
      </c>
      <c r="F78" s="298">
        <v>2.9549060045343564E-2</v>
      </c>
      <c r="G78" s="298">
        <v>1.9149260351853523E-2</v>
      </c>
      <c r="H78" s="298">
        <v>8.8894084206710914E-3</v>
      </c>
      <c r="I78" s="298">
        <v>9.8004503653837914E-3</v>
      </c>
      <c r="J78" s="298">
        <v>9.3355107602731344E-3</v>
      </c>
      <c r="K78" s="298">
        <v>1.1176506405604431E-2</v>
      </c>
      <c r="L78" s="298">
        <v>1.0797812516310075E-2</v>
      </c>
      <c r="M78" s="298">
        <v>4.9258459762198314E-3</v>
      </c>
      <c r="N78" s="298">
        <v>1.5412362332936629E-3</v>
      </c>
      <c r="O78" s="298">
        <v>1.7707278526791228E-3</v>
      </c>
      <c r="P78" s="298">
        <v>3.8905467511792919E-3</v>
      </c>
      <c r="Q78" s="298">
        <v>3.1270051788819786E-3</v>
      </c>
      <c r="R78" s="298">
        <v>2.7546885466757905E-3</v>
      </c>
      <c r="S78" s="298">
        <v>2.7546885466757905E-3</v>
      </c>
      <c r="T78" s="298">
        <v>2.7546885466757905E-3</v>
      </c>
      <c r="U78" s="298">
        <v>2.7546885466757905E-3</v>
      </c>
    </row>
    <row r="79" spans="1:21" ht="14.4" x14ac:dyDescent="0.3">
      <c r="A79" s="43">
        <v>17</v>
      </c>
      <c r="B79" s="43"/>
      <c r="C79" s="1"/>
      <c r="D79" s="299">
        <v>38.305868434141544</v>
      </c>
      <c r="E79" s="298">
        <v>5.2999903687276673</v>
      </c>
      <c r="F79" s="298">
        <v>6.2578007441416821</v>
      </c>
      <c r="G79" s="299">
        <v>3.651615692351549</v>
      </c>
      <c r="H79" s="299">
        <v>3.9361368606820331</v>
      </c>
      <c r="I79" s="299">
        <v>3.5365888642625669</v>
      </c>
      <c r="J79" s="298">
        <v>2.7954962272937816</v>
      </c>
      <c r="K79" s="298">
        <v>2.4617473384512585</v>
      </c>
      <c r="L79" s="298">
        <v>2.1281057585635259</v>
      </c>
      <c r="M79" s="298">
        <v>1.850567348179557</v>
      </c>
      <c r="N79" s="299">
        <v>1.5324828885585096</v>
      </c>
      <c r="O79" s="298">
        <v>1.4251739565426205</v>
      </c>
      <c r="P79" s="298">
        <v>1.4117622874341469</v>
      </c>
      <c r="Q79" s="298">
        <v>1.3485789449567889</v>
      </c>
      <c r="R79" s="298">
        <v>1.3516864824509252</v>
      </c>
      <c r="S79" s="298">
        <v>1.3516864824509252</v>
      </c>
      <c r="T79" s="298">
        <v>1.3516864824509252</v>
      </c>
      <c r="U79" s="298">
        <v>1.3516864824509252</v>
      </c>
    </row>
    <row r="80" spans="1:21" ht="14.4" x14ac:dyDescent="0.3">
      <c r="A80" s="43">
        <v>18</v>
      </c>
      <c r="B80" s="43"/>
      <c r="C80" s="1"/>
      <c r="D80" s="298">
        <v>6.8073317161051342E-3</v>
      </c>
      <c r="E80" s="298">
        <v>4.4855023970696963E-3</v>
      </c>
      <c r="F80" s="298">
        <v>3.7080452251308581E-3</v>
      </c>
      <c r="G80" s="298">
        <v>4.1891794258732719E-3</v>
      </c>
      <c r="H80" s="298">
        <v>2.5800652861531514E-3</v>
      </c>
      <c r="I80" s="298">
        <v>5.1323452366736095E-3</v>
      </c>
      <c r="J80" s="298">
        <v>3.2624660891922676E-3</v>
      </c>
      <c r="K80" s="298">
        <v>9.7248963017647263E-4</v>
      </c>
      <c r="L80" s="298">
        <v>5.3824967182370125E-4</v>
      </c>
      <c r="M80" s="298">
        <v>3.4207800467921257E-3</v>
      </c>
      <c r="N80" s="298">
        <v>2.3022193218101682E-3</v>
      </c>
      <c r="O80" s="298">
        <v>7.1766985210155283E-4</v>
      </c>
      <c r="P80" s="298">
        <v>1.6747979107749516E-3</v>
      </c>
      <c r="Q80" s="298">
        <v>1.0243399597807483E-3</v>
      </c>
      <c r="R80" s="298">
        <v>2.7645882744071495E-3</v>
      </c>
      <c r="S80" s="298">
        <v>2.7645882744071495E-3</v>
      </c>
      <c r="T80" s="298">
        <v>2.7645882744071495E-3</v>
      </c>
      <c r="U80" s="298">
        <v>2.7645882744071495E-3</v>
      </c>
    </row>
    <row r="81" spans="1:21" ht="14.4" x14ac:dyDescent="0.3">
      <c r="A81" s="43">
        <v>19</v>
      </c>
      <c r="B81" s="43"/>
      <c r="C81" s="1"/>
      <c r="D81" s="298">
        <v>28.12675018493254</v>
      </c>
      <c r="E81" s="298">
        <v>5.7694235730205383</v>
      </c>
      <c r="F81" s="298">
        <v>4.4923444139523241</v>
      </c>
      <c r="G81" s="298">
        <v>2.461818140179882</v>
      </c>
      <c r="H81" s="298">
        <v>1.5612033953483941</v>
      </c>
      <c r="I81" s="298">
        <v>1.435344927819425</v>
      </c>
      <c r="J81" s="298">
        <v>1.8152549557696753</v>
      </c>
      <c r="K81" s="298">
        <v>1.7533389509717254</v>
      </c>
      <c r="L81" s="298">
        <v>1.6441205577377018</v>
      </c>
      <c r="M81" s="298">
        <v>1.5015094716885002</v>
      </c>
      <c r="N81" s="298">
        <v>1.1978760529333901</v>
      </c>
      <c r="O81" s="298">
        <v>0.96493434637770215</v>
      </c>
      <c r="P81" s="298">
        <v>0.86230538911097832</v>
      </c>
      <c r="Q81" s="298">
        <v>0.87143134542122158</v>
      </c>
      <c r="R81" s="298">
        <v>0.89423887387252965</v>
      </c>
      <c r="S81" s="298">
        <v>0.89423887387252965</v>
      </c>
      <c r="T81" s="298">
        <v>0.89423887387252965</v>
      </c>
      <c r="U81" s="298">
        <v>0.89423887387252965</v>
      </c>
    </row>
    <row r="82" spans="1:21" ht="14.4" x14ac:dyDescent="0.3">
      <c r="A82" s="43">
        <v>20</v>
      </c>
      <c r="B82" s="43"/>
      <c r="C82" s="1"/>
      <c r="D82" s="298">
        <v>0.16228025606892954</v>
      </c>
      <c r="E82" s="298">
        <v>3.4304595434386999E-2</v>
      </c>
      <c r="F82" s="298">
        <v>3.603503131369204E-2</v>
      </c>
      <c r="G82" s="298">
        <v>1.3414457398225953E-2</v>
      </c>
      <c r="H82" s="298">
        <v>1.3820648138552563E-2</v>
      </c>
      <c r="I82" s="298">
        <v>1.2553645285502412E-2</v>
      </c>
      <c r="J82" s="298">
        <v>1.1519216055600136E-2</v>
      </c>
      <c r="K82" s="298">
        <v>1.2482583619361326E-2</v>
      </c>
      <c r="L82" s="298">
        <v>1.0659586926913772E-2</v>
      </c>
      <c r="M82" s="298">
        <v>3.9990621565117561E-3</v>
      </c>
      <c r="N82" s="298">
        <v>4.289924599988241E-3</v>
      </c>
      <c r="O82" s="298">
        <v>2.3631359410929234E-3</v>
      </c>
      <c r="P82" s="298">
        <v>2.0372139828744758E-3</v>
      </c>
      <c r="Q82" s="298">
        <v>2.6099379219788315E-3</v>
      </c>
      <c r="R82" s="298">
        <v>3.3164014470484933E-3</v>
      </c>
      <c r="S82" s="298">
        <v>3.3164014470484933E-3</v>
      </c>
      <c r="T82" s="298">
        <v>3.3164014470484933E-3</v>
      </c>
      <c r="U82" s="298">
        <v>3.3164014470484933E-3</v>
      </c>
    </row>
    <row r="83" spans="1:21" ht="14.4" x14ac:dyDescent="0.3">
      <c r="A83" s="43">
        <v>21</v>
      </c>
      <c r="B83" s="43"/>
      <c r="C83" s="1"/>
      <c r="D83" s="298">
        <v>0.62329316321319206</v>
      </c>
      <c r="E83" s="298">
        <v>0.38652912360520963</v>
      </c>
      <c r="F83" s="298">
        <v>0.28848587809075404</v>
      </c>
      <c r="G83" s="298">
        <v>0.2327624797312611</v>
      </c>
      <c r="H83" s="298">
        <v>0.12695962714013889</v>
      </c>
      <c r="I83" s="298">
        <v>0.43156831387325317</v>
      </c>
      <c r="J83" s="298">
        <v>0.51232861946084751</v>
      </c>
      <c r="K83" s="298">
        <v>0.33639919482821595</v>
      </c>
      <c r="L83" s="298">
        <v>0.24976274080004948</v>
      </c>
      <c r="M83" s="298">
        <v>0.20143664947276263</v>
      </c>
      <c r="N83" s="298">
        <v>0.14886071320433725</v>
      </c>
      <c r="O83" s="298">
        <v>0.11057082122039739</v>
      </c>
      <c r="P83" s="298">
        <v>8.69095877563483E-2</v>
      </c>
      <c r="Q83" s="298">
        <v>6.469840401868561E-2</v>
      </c>
      <c r="R83" s="298">
        <v>6.207334554446476E-2</v>
      </c>
      <c r="S83" s="298">
        <v>6.207334554446476E-2</v>
      </c>
      <c r="T83" s="298">
        <v>6.207334554446476E-2</v>
      </c>
      <c r="U83" s="298">
        <v>6.207334554446476E-2</v>
      </c>
    </row>
    <row r="84" spans="1:21" ht="14.4" x14ac:dyDescent="0.3">
      <c r="A84" s="43">
        <v>22</v>
      </c>
      <c r="B84" s="43"/>
      <c r="C84" s="1"/>
      <c r="D84" s="298">
        <v>0.10196628651957353</v>
      </c>
      <c r="E84" s="298">
        <v>3.8702088424270906E-2</v>
      </c>
      <c r="F84" s="298">
        <v>3.2940823141321553E-2</v>
      </c>
      <c r="G84" s="298">
        <v>1.4397088226243407E-2</v>
      </c>
      <c r="H84" s="298">
        <v>8.0433131135157904E-3</v>
      </c>
      <c r="I84" s="298">
        <v>9.1411482785596215E-3</v>
      </c>
      <c r="J84" s="298">
        <v>1.3328297513609087E-2</v>
      </c>
      <c r="K84" s="298">
        <v>9.9334339431091864E-3</v>
      </c>
      <c r="L84" s="298">
        <v>8.7776949548354632E-3</v>
      </c>
      <c r="M84" s="298">
        <v>2.8422690440152187E-3</v>
      </c>
      <c r="N84" s="298">
        <v>1.7693174251628295E-3</v>
      </c>
      <c r="O84" s="298">
        <v>2.3683965026528521E-3</v>
      </c>
      <c r="P84" s="298">
        <v>2.2687748359132434E-3</v>
      </c>
      <c r="Q84" s="298">
        <v>3.2956893394252857E-3</v>
      </c>
      <c r="R84" s="298">
        <v>3.1845733198832878E-3</v>
      </c>
      <c r="S84" s="298">
        <v>3.1845733198832878E-3</v>
      </c>
      <c r="T84" s="298">
        <v>3.1845733198832878E-3</v>
      </c>
      <c r="U84" s="298">
        <v>3.1845733198832878E-3</v>
      </c>
    </row>
    <row r="85" spans="1:21" ht="14.4" x14ac:dyDescent="0.3">
      <c r="A85" s="43">
        <v>23</v>
      </c>
      <c r="B85" s="43"/>
      <c r="C85" s="1"/>
      <c r="D85" s="298">
        <v>14.111336248333169</v>
      </c>
      <c r="E85" s="298">
        <v>4.5502762773923147</v>
      </c>
      <c r="F85" s="298">
        <v>2.8173069900787024</v>
      </c>
      <c r="G85" s="298">
        <v>2.0670952688936821</v>
      </c>
      <c r="H85" s="298">
        <v>2.2928087910650583</v>
      </c>
      <c r="I85" s="298">
        <v>1.9472020944612196</v>
      </c>
      <c r="J85" s="298">
        <v>1.3645089433593613</v>
      </c>
      <c r="K85" s="298">
        <v>1.1709027163413299</v>
      </c>
      <c r="L85" s="298">
        <v>1.0449622436221531</v>
      </c>
      <c r="M85" s="298">
        <v>0.98668776275695924</v>
      </c>
      <c r="N85" s="298">
        <v>0.97151910927620677</v>
      </c>
      <c r="O85" s="298">
        <v>0.91499109629030073</v>
      </c>
      <c r="P85" s="298">
        <v>0.81941237005377587</v>
      </c>
      <c r="Q85" s="298">
        <v>0.64151011524075341</v>
      </c>
      <c r="R85" s="298">
        <v>0.64347399672352978</v>
      </c>
      <c r="S85" s="298">
        <v>0.64347399672352978</v>
      </c>
      <c r="T85" s="298">
        <v>0.64347399672352978</v>
      </c>
      <c r="U85" s="298">
        <v>0.64347399672352978</v>
      </c>
    </row>
    <row r="86" spans="1:21" ht="14.4" x14ac:dyDescent="0.3">
      <c r="A86" s="43">
        <v>24</v>
      </c>
      <c r="B86" s="43"/>
      <c r="C86" s="1"/>
      <c r="D86" s="298">
        <v>3.6824454901743818E-2</v>
      </c>
      <c r="E86" s="298">
        <v>9.8382681602157043E-3</v>
      </c>
      <c r="F86" s="298">
        <v>2.4869442257516557E-3</v>
      </c>
      <c r="G86" s="298">
        <v>3.7823320015961076E-3</v>
      </c>
      <c r="H86" s="298">
        <v>3.0035667733548503E-3</v>
      </c>
      <c r="I86" s="298">
        <v>5.3235417328994826E-3</v>
      </c>
      <c r="J86" s="298">
        <v>5.8116700278296428E-3</v>
      </c>
      <c r="K86" s="298">
        <v>2.9855222275943743E-3</v>
      </c>
      <c r="L86" s="298">
        <v>2.3272957918215429E-3</v>
      </c>
      <c r="M86" s="298">
        <v>3.1075268606800422E-3</v>
      </c>
      <c r="N86" s="298">
        <v>1.6642059470906843E-3</v>
      </c>
      <c r="O86" s="298">
        <v>5.0465814106315395E-4</v>
      </c>
      <c r="P86" s="298">
        <v>2.4652728971896356E-3</v>
      </c>
      <c r="Q86" s="298">
        <v>5.6815989694872823E-4</v>
      </c>
      <c r="R86" s="298">
        <v>2.910084521893625E-3</v>
      </c>
      <c r="S86" s="298">
        <v>2.910084521893625E-3</v>
      </c>
      <c r="T86" s="298">
        <v>2.910084521893625E-3</v>
      </c>
      <c r="U86" s="298">
        <v>2.910084521893625E-3</v>
      </c>
    </row>
    <row r="87" spans="1:21" ht="14.4" x14ac:dyDescent="0.3">
      <c r="A87" s="43">
        <v>25</v>
      </c>
      <c r="B87" s="43"/>
      <c r="C87" s="1"/>
      <c r="D87" s="298">
        <v>9.1460847189836905</v>
      </c>
      <c r="E87" s="298">
        <v>3.3287755929835949</v>
      </c>
      <c r="F87" s="298">
        <v>2.4769082641614584</v>
      </c>
      <c r="G87" s="298">
        <v>1.4065816239828657</v>
      </c>
      <c r="H87" s="298">
        <v>0.9812541545579192</v>
      </c>
      <c r="I87" s="298">
        <v>0.87516515937476913</v>
      </c>
      <c r="J87" s="298">
        <v>1.0203047520164361</v>
      </c>
      <c r="K87" s="298">
        <v>0.89181945133108653</v>
      </c>
      <c r="L87" s="298">
        <v>0.77335390981045959</v>
      </c>
      <c r="M87" s="298">
        <v>0.680943962179267</v>
      </c>
      <c r="N87" s="298">
        <v>0.60410783726699213</v>
      </c>
      <c r="O87" s="298">
        <v>0.59625159344747769</v>
      </c>
      <c r="P87" s="298">
        <v>0.57911197721694829</v>
      </c>
      <c r="Q87" s="298">
        <v>0.47588131924725879</v>
      </c>
      <c r="R87" s="298">
        <v>0.48332856078705327</v>
      </c>
      <c r="S87" s="298">
        <v>0.48332856078705327</v>
      </c>
      <c r="T87" s="298">
        <v>0.48332856078705327</v>
      </c>
      <c r="U87" s="298">
        <v>0.48332856078705327</v>
      </c>
    </row>
    <row r="88" spans="1:21" ht="14.4" x14ac:dyDescent="0.3">
      <c r="A88" s="43">
        <v>26</v>
      </c>
      <c r="B88" s="43"/>
      <c r="C88" s="1"/>
      <c r="D88" s="298">
        <v>5.0821504219815294E-2</v>
      </c>
      <c r="E88" s="298">
        <v>5.5062549483802257E-2</v>
      </c>
      <c r="F88" s="298">
        <v>2.6569838221547654E-2</v>
      </c>
      <c r="G88" s="298">
        <v>1.7180710354120391E-2</v>
      </c>
      <c r="H88" s="298">
        <v>1.4413765296386657E-2</v>
      </c>
      <c r="I88" s="298">
        <v>1.340051166752103E-2</v>
      </c>
      <c r="J88" s="298">
        <v>1.2261667576280695E-2</v>
      </c>
      <c r="K88" s="298">
        <v>1.1494261330574136E-2</v>
      </c>
      <c r="L88" s="298">
        <v>1.1502164549246671E-2</v>
      </c>
      <c r="M88" s="298">
        <v>6.3586835670058186E-3</v>
      </c>
      <c r="N88" s="298">
        <v>5.7283366829020497E-3</v>
      </c>
      <c r="O88" s="298">
        <v>1.4156391535011382E-3</v>
      </c>
      <c r="P88" s="298">
        <v>2.35923526977449E-3</v>
      </c>
      <c r="Q88" s="298">
        <v>3.048115692564884E-3</v>
      </c>
      <c r="R88" s="298">
        <v>2.505817916151253E-3</v>
      </c>
      <c r="S88" s="298">
        <v>2.505817916151253E-3</v>
      </c>
      <c r="T88" s="298">
        <v>2.505817916151253E-3</v>
      </c>
      <c r="U88" s="298">
        <v>2.505817916151253E-3</v>
      </c>
    </row>
    <row r="89" spans="1:21" ht="14.4" x14ac:dyDescent="0.3">
      <c r="A89" s="43">
        <v>27</v>
      </c>
      <c r="B89" s="43"/>
      <c r="C89" s="1"/>
      <c r="D89" s="298">
        <v>0.21238680360962095</v>
      </c>
      <c r="E89" s="298">
        <v>0.25707405179893289</v>
      </c>
      <c r="F89" s="298">
        <v>0.16073741316951387</v>
      </c>
      <c r="G89" s="298">
        <v>0.17380962651022741</v>
      </c>
      <c r="H89" s="298">
        <v>9.1193806224074303E-2</v>
      </c>
      <c r="I89" s="298">
        <v>0.33088372878460953</v>
      </c>
      <c r="J89" s="298">
        <v>0.40809218499146371</v>
      </c>
      <c r="K89" s="298">
        <v>0.28326195110267732</v>
      </c>
      <c r="L89" s="298">
        <v>0.20563582476045428</v>
      </c>
      <c r="M89" s="298">
        <v>0.15760505021576746</v>
      </c>
      <c r="N89" s="298">
        <v>9.9377043514666238E-2</v>
      </c>
      <c r="O89" s="298">
        <v>7.5391622206023953E-2</v>
      </c>
      <c r="P89" s="298">
        <v>6.8011485955306775E-2</v>
      </c>
      <c r="Q89" s="298">
        <v>5.56664765461901E-2</v>
      </c>
      <c r="R89" s="298">
        <v>5.3354821022066533E-2</v>
      </c>
      <c r="S89" s="298">
        <v>5.3354821022066533E-2</v>
      </c>
      <c r="T89" s="298">
        <v>5.3354821022066533E-2</v>
      </c>
      <c r="U89" s="298">
        <v>5.3354821022066533E-2</v>
      </c>
    </row>
    <row r="90" spans="1:21" ht="14.4" x14ac:dyDescent="0.3">
      <c r="A90" s="43">
        <v>28</v>
      </c>
      <c r="B90" s="43"/>
      <c r="C90" s="1"/>
      <c r="D90" s="298">
        <v>1.9392625777396737E-2</v>
      </c>
      <c r="E90" s="298">
        <v>4.7102518518670457E-2</v>
      </c>
      <c r="F90" s="298">
        <v>2.8971418661601897E-2</v>
      </c>
      <c r="G90" s="298">
        <v>1.1872541264805246E-2</v>
      </c>
      <c r="H90" s="298">
        <v>6.9611130983163278E-3</v>
      </c>
      <c r="I90" s="298">
        <v>8.5362681900183323E-3</v>
      </c>
      <c r="J90" s="298">
        <v>1.2556658041302614E-2</v>
      </c>
      <c r="K90" s="298">
        <v>1.0537656791068419E-2</v>
      </c>
      <c r="L90" s="298">
        <v>9.2930775732190107E-3</v>
      </c>
      <c r="M90" s="298">
        <v>3.3090135809581808E-3</v>
      </c>
      <c r="N90" s="298">
        <v>8.4429509332862738E-4</v>
      </c>
      <c r="O90" s="298">
        <v>1.7536756837702497E-3</v>
      </c>
      <c r="P90" s="298">
        <v>1.2486380283558422E-3</v>
      </c>
      <c r="Q90" s="298">
        <v>3.2293207653354824E-3</v>
      </c>
      <c r="R90" s="298">
        <v>2.7333925969108054E-3</v>
      </c>
      <c r="S90" s="298">
        <v>2.7333925969108054E-3</v>
      </c>
      <c r="T90" s="298">
        <v>2.7333925969108054E-3</v>
      </c>
      <c r="U90" s="298">
        <v>2.7333925969108054E-3</v>
      </c>
    </row>
    <row r="91" spans="1:21" ht="14.4" x14ac:dyDescent="0.3">
      <c r="A91" s="43">
        <v>29</v>
      </c>
      <c r="B91" s="43"/>
      <c r="C91" s="1"/>
      <c r="D91" s="298">
        <v>6.5146861253923207</v>
      </c>
      <c r="E91" s="298">
        <v>2.6788137999966111</v>
      </c>
      <c r="F91" s="298">
        <v>1.6106667515221753</v>
      </c>
      <c r="G91" s="298">
        <v>1.3975423047728013</v>
      </c>
      <c r="H91" s="298">
        <v>1.3999934630363924</v>
      </c>
      <c r="I91" s="298">
        <v>1.0907850218496227</v>
      </c>
      <c r="J91" s="298">
        <v>0.75870567381450926</v>
      </c>
      <c r="K91" s="298">
        <v>0.75678843679568575</v>
      </c>
      <c r="L91" s="298">
        <v>0.75575983296320848</v>
      </c>
      <c r="M91" s="298">
        <v>0.72478506133268517</v>
      </c>
      <c r="N91" s="298">
        <v>0.61840577400138186</v>
      </c>
      <c r="O91" s="298">
        <v>0.50578743449988961</v>
      </c>
      <c r="P91" s="298">
        <v>0.46727025134098182</v>
      </c>
      <c r="Q91" s="298">
        <v>0.45386743782930422</v>
      </c>
      <c r="R91" s="298">
        <v>0.4514293951690499</v>
      </c>
      <c r="S91" s="298">
        <v>0.4514293951690499</v>
      </c>
      <c r="T91" s="298">
        <v>0.4514293951690499</v>
      </c>
      <c r="U91" s="298">
        <v>0.4514293951690499</v>
      </c>
    </row>
    <row r="92" spans="1:21" ht="14.4" x14ac:dyDescent="0.3">
      <c r="A92" s="43">
        <v>30</v>
      </c>
      <c r="B92" s="43"/>
      <c r="C92" s="1"/>
      <c r="D92" s="298">
        <v>3.4884370898550648E-2</v>
      </c>
      <c r="E92" s="298">
        <v>4.1765772225850796E-3</v>
      </c>
      <c r="F92" s="298">
        <v>3.1945642193693534E-3</v>
      </c>
      <c r="G92" s="298">
        <v>3.60287707209932E-3</v>
      </c>
      <c r="H92" s="298">
        <v>3.2920300374340902E-3</v>
      </c>
      <c r="I92" s="298">
        <v>5.0314868423076246E-3</v>
      </c>
      <c r="J92" s="298">
        <v>4.6053075814346854E-3</v>
      </c>
      <c r="K92" s="298">
        <v>3.6991571943863818E-3</v>
      </c>
      <c r="L92" s="298">
        <v>1.9564019833816105E-3</v>
      </c>
      <c r="M92" s="298">
        <v>2.8717553777810353E-3</v>
      </c>
      <c r="N92" s="298">
        <v>2.6821760992090326E-3</v>
      </c>
      <c r="O92" s="298">
        <v>5.3985110846739104E-4</v>
      </c>
      <c r="P92" s="298">
        <v>8.6189772740157076E-4</v>
      </c>
      <c r="Q92" s="298">
        <v>7.0587971191137216E-4</v>
      </c>
      <c r="R92" s="298">
        <v>2.5967183728580682E-3</v>
      </c>
      <c r="S92" s="298">
        <v>2.5967183728580682E-3</v>
      </c>
      <c r="T92" s="298">
        <v>2.5967183728580682E-3</v>
      </c>
      <c r="U92" s="298">
        <v>2.5967183728580682E-3</v>
      </c>
    </row>
    <row r="93" spans="1:21" ht="14.4" x14ac:dyDescent="0.3">
      <c r="A93" s="43">
        <v>31</v>
      </c>
      <c r="B93" s="43"/>
      <c r="C93" s="1"/>
      <c r="D93" s="298">
        <v>6.3339107327432735</v>
      </c>
      <c r="E93" s="298">
        <v>2.4858685050570775</v>
      </c>
      <c r="F93" s="298">
        <v>1.4322222537619056</v>
      </c>
      <c r="G93" s="298">
        <v>0.82280279165842463</v>
      </c>
      <c r="H93" s="298">
        <v>0.68512353629472578</v>
      </c>
      <c r="I93" s="298">
        <v>0.58112005814292844</v>
      </c>
      <c r="J93" s="298">
        <v>0.56772740214173922</v>
      </c>
      <c r="K93" s="298">
        <v>0.46221863452787271</v>
      </c>
      <c r="L93" s="298">
        <v>0.42486576546865334</v>
      </c>
      <c r="M93" s="298">
        <v>0.43056874893088998</v>
      </c>
      <c r="N93" s="298">
        <v>0.43268010175951643</v>
      </c>
      <c r="O93" s="298">
        <v>0.37617527613812002</v>
      </c>
      <c r="P93" s="298">
        <v>0.31678577460681751</v>
      </c>
      <c r="Q93" s="298">
        <v>0.30877008317967913</v>
      </c>
      <c r="R93" s="298">
        <v>0.3120658886678041</v>
      </c>
      <c r="S93" s="298">
        <v>0.3120658886678041</v>
      </c>
      <c r="T93" s="298">
        <v>0.3120658886678041</v>
      </c>
      <c r="U93" s="298">
        <v>0.3120658886678041</v>
      </c>
    </row>
    <row r="94" spans="1:21" ht="14.4" x14ac:dyDescent="0.3">
      <c r="A94" s="43">
        <v>32</v>
      </c>
      <c r="B94" s="43"/>
      <c r="C94" s="1"/>
      <c r="D94" s="298">
        <v>4.6506205535545839E-2</v>
      </c>
      <c r="E94" s="298">
        <v>3.3260518350729629E-2</v>
      </c>
      <c r="F94" s="298">
        <v>2.9586195514357663E-2</v>
      </c>
      <c r="G94" s="298">
        <v>1.9535797704362808E-2</v>
      </c>
      <c r="H94" s="298">
        <v>1.4563606306652922E-2</v>
      </c>
      <c r="I94" s="298">
        <v>1.305927336868163E-2</v>
      </c>
      <c r="J94" s="298">
        <v>8.8970610246392086E-3</v>
      </c>
      <c r="K94" s="298">
        <v>1.1901375104307985E-2</v>
      </c>
      <c r="L94" s="298">
        <v>1.1921658515740853E-2</v>
      </c>
      <c r="M94" s="298">
        <v>5.9187663071225798E-3</v>
      </c>
      <c r="N94" s="298">
        <v>4.587462629749072E-3</v>
      </c>
      <c r="O94" s="298">
        <v>1.2699646308248702E-3</v>
      </c>
      <c r="P94" s="298">
        <v>2.2444292602197963E-3</v>
      </c>
      <c r="Q94" s="298">
        <v>2.8384966763810126E-3</v>
      </c>
      <c r="R94" s="298">
        <v>2.9287371239286731E-3</v>
      </c>
      <c r="S94" s="298">
        <v>2.9287371239286731E-3</v>
      </c>
      <c r="T94" s="298">
        <v>2.9287371239286731E-3</v>
      </c>
      <c r="U94" s="298">
        <v>2.9287371239286731E-3</v>
      </c>
    </row>
    <row r="95" spans="1:21" ht="14.4" x14ac:dyDescent="0.3">
      <c r="A95" s="43">
        <v>33</v>
      </c>
      <c r="B95" s="43"/>
      <c r="C95" s="1"/>
      <c r="D95" s="298">
        <v>0.30274927892914244</v>
      </c>
      <c r="E95" s="298">
        <v>1.7216657169820748E-2</v>
      </c>
      <c r="F95" s="298">
        <v>0.12233571605865014</v>
      </c>
      <c r="G95" s="298">
        <v>0.13605621192601108</v>
      </c>
      <c r="H95" s="298">
        <v>7.0763148414675126E-2</v>
      </c>
      <c r="I95" s="298">
        <v>0.26563628264177047</v>
      </c>
      <c r="J95" s="298">
        <v>0.34165566585023771</v>
      </c>
      <c r="K95" s="298">
        <v>0.22742267911109676</v>
      </c>
      <c r="L95" s="298">
        <v>0.15381673439332844</v>
      </c>
      <c r="M95" s="298">
        <v>0.11558930646976719</v>
      </c>
      <c r="N95" s="298">
        <v>8.4151409301761251E-2</v>
      </c>
      <c r="O95" s="298">
        <v>6.7503639523961864E-2</v>
      </c>
      <c r="P95" s="298">
        <v>5.6413371607669127E-2</v>
      </c>
      <c r="Q95" s="298">
        <v>4.1647697018963321E-2</v>
      </c>
      <c r="R95" s="298">
        <v>3.9799798597555773E-2</v>
      </c>
      <c r="S95" s="298">
        <v>3.9799798597555773E-2</v>
      </c>
      <c r="T95" s="298">
        <v>3.9799798597555773E-2</v>
      </c>
      <c r="U95" s="298">
        <v>3.9799798597555773E-2</v>
      </c>
    </row>
    <row r="96" spans="1:21" ht="14.4" x14ac:dyDescent="0.3">
      <c r="A96" s="43">
        <v>34</v>
      </c>
      <c r="B96" s="43"/>
      <c r="C96" s="1"/>
      <c r="D96" s="298">
        <v>0.15658261184107439</v>
      </c>
      <c r="E96" s="298">
        <v>6.9206297258360139E-2</v>
      </c>
      <c r="F96" s="298">
        <v>0.11719738000471913</v>
      </c>
      <c r="G96" s="298">
        <v>9.0950515996728487E-2</v>
      </c>
      <c r="H96" s="298">
        <v>5.6069430808107633E-2</v>
      </c>
      <c r="I96" s="298">
        <v>0.18457651004529252</v>
      </c>
      <c r="J96" s="298">
        <v>0.21861320828195963</v>
      </c>
      <c r="K96" s="298">
        <v>0.14805460867942424</v>
      </c>
      <c r="L96" s="298">
        <v>0.10865726471480185</v>
      </c>
      <c r="M96" s="298">
        <v>8.7921961526698345E-2</v>
      </c>
      <c r="N96" s="298">
        <v>5.8256465500538285E-2</v>
      </c>
      <c r="O96" s="298">
        <v>4.4253058727944716E-2</v>
      </c>
      <c r="P96" s="298">
        <v>3.9509788445304235E-2</v>
      </c>
      <c r="Q96" s="298">
        <v>2.9542651780987427E-2</v>
      </c>
      <c r="R96" s="298">
        <v>2.8071591122090556E-2</v>
      </c>
      <c r="S96" s="298">
        <v>2.8071591122090556E-2</v>
      </c>
      <c r="T96" s="298">
        <v>2.8071591122090556E-2</v>
      </c>
      <c r="U96" s="298">
        <v>2.8071591122090556E-2</v>
      </c>
    </row>
    <row r="97" spans="1:21" ht="14.4" x14ac:dyDescent="0.3">
      <c r="A97" s="43">
        <v>35</v>
      </c>
      <c r="B97" s="43"/>
      <c r="C97" s="1"/>
      <c r="D97" s="298">
        <v>5.9029852258662023</v>
      </c>
      <c r="E97" s="298">
        <v>1.4733260588243429</v>
      </c>
      <c r="F97" s="298">
        <v>1.2803616292235322</v>
      </c>
      <c r="G97" s="298">
        <v>1.0290257258239199</v>
      </c>
      <c r="H97" s="298">
        <v>0.95078684693100002</v>
      </c>
      <c r="I97" s="298">
        <v>0.68755518357204037</v>
      </c>
      <c r="J97" s="298">
        <v>0.51648077967213191</v>
      </c>
      <c r="K97" s="298">
        <v>0.5658478637815777</v>
      </c>
      <c r="L97" s="298">
        <v>0.55172205299175037</v>
      </c>
      <c r="M97" s="298">
        <v>0.48796466250698262</v>
      </c>
      <c r="N97" s="298">
        <v>0.39029335703643686</v>
      </c>
      <c r="O97" s="298">
        <v>0.36343466624775511</v>
      </c>
      <c r="P97" s="298">
        <v>0.35166631128246867</v>
      </c>
      <c r="Q97" s="298">
        <v>0.28545240285608292</v>
      </c>
      <c r="R97" s="298">
        <v>0.28281840150514814</v>
      </c>
      <c r="S97" s="298">
        <v>0.28281840150514814</v>
      </c>
      <c r="T97" s="298">
        <v>0.28281840150514814</v>
      </c>
      <c r="U97" s="298">
        <v>0.28281840150514814</v>
      </c>
    </row>
    <row r="98" spans="1:21" ht="14.4" x14ac:dyDescent="0.3">
      <c r="A98" s="43">
        <v>36</v>
      </c>
      <c r="B98" s="43"/>
      <c r="C98" s="1"/>
      <c r="D98" s="298">
        <v>0.15658261184107439</v>
      </c>
      <c r="E98" s="298">
        <v>6.9206297258360139E-2</v>
      </c>
      <c r="F98" s="298">
        <v>0.11719738000471913</v>
      </c>
      <c r="G98" s="298">
        <v>9.0950515996728487E-2</v>
      </c>
      <c r="H98" s="298">
        <v>5.6069430808107633E-2</v>
      </c>
      <c r="I98" s="298">
        <v>0.18457651004529252</v>
      </c>
      <c r="J98" s="298">
        <v>0.21861320828195963</v>
      </c>
      <c r="K98" s="298">
        <v>0.14805460867942424</v>
      </c>
      <c r="L98" s="298">
        <v>0.10865726471480185</v>
      </c>
      <c r="M98" s="298">
        <v>8.7921961526698345E-2</v>
      </c>
      <c r="N98" s="298">
        <v>5.8256465500538285E-2</v>
      </c>
      <c r="O98" s="298">
        <v>4.4253058727944716E-2</v>
      </c>
      <c r="P98" s="298">
        <v>3.9509788445304235E-2</v>
      </c>
      <c r="Q98" s="298">
        <v>2.9542651780987427E-2</v>
      </c>
      <c r="R98" s="298">
        <v>2.8071591122090556E-2</v>
      </c>
      <c r="S98" s="298">
        <v>2.8071591122090556E-2</v>
      </c>
      <c r="T98" s="298">
        <v>2.8071591122090556E-2</v>
      </c>
      <c r="U98" s="298">
        <v>2.8071591122090556E-2</v>
      </c>
    </row>
    <row r="99" spans="1:21" ht="14.4" x14ac:dyDescent="0.3">
      <c r="A99" s="43">
        <v>37</v>
      </c>
      <c r="B99" s="43"/>
      <c r="C99" s="1"/>
      <c r="D99" s="298">
        <v>4.7242605294817244</v>
      </c>
      <c r="E99" s="298">
        <v>1.4147795985274163</v>
      </c>
      <c r="F99" s="298">
        <v>0.86563302172429457</v>
      </c>
      <c r="G99" s="298">
        <v>0.58792408051231626</v>
      </c>
      <c r="H99" s="298">
        <v>0.44571284137714501</v>
      </c>
      <c r="I99" s="298">
        <v>0.35071388358174704</v>
      </c>
      <c r="J99" s="298">
        <v>0.34192356461046053</v>
      </c>
      <c r="K99" s="298">
        <v>0.32136315457507253</v>
      </c>
      <c r="L99" s="298">
        <v>0.32334277343163409</v>
      </c>
      <c r="M99" s="298">
        <v>0.31458122808120276</v>
      </c>
      <c r="N99" s="298">
        <v>0.26038899134139826</v>
      </c>
      <c r="O99" s="298">
        <v>0.23293659142238254</v>
      </c>
      <c r="P99" s="298">
        <v>0.23495243567481122</v>
      </c>
      <c r="Q99" s="298">
        <v>0.1983093021126322</v>
      </c>
      <c r="R99" s="298">
        <v>0.19995839901366486</v>
      </c>
      <c r="S99" s="298">
        <v>0.19995839901366486</v>
      </c>
      <c r="T99" s="298">
        <v>0.19995839901366486</v>
      </c>
      <c r="U99" s="298">
        <v>0.19995839901366486</v>
      </c>
    </row>
    <row r="100" spans="1:21" ht="14.4" x14ac:dyDescent="0.3">
      <c r="A100" s="43">
        <v>38</v>
      </c>
      <c r="B100" s="43"/>
      <c r="C100" s="1"/>
      <c r="D100" s="298">
        <v>0.15658261184107439</v>
      </c>
      <c r="E100" s="298">
        <v>6.9206297258360139E-2</v>
      </c>
      <c r="F100" s="298">
        <v>0.11719738000471913</v>
      </c>
      <c r="G100" s="298">
        <v>9.0950515996728487E-2</v>
      </c>
      <c r="H100" s="298">
        <v>5.6069430808107633E-2</v>
      </c>
      <c r="I100" s="298">
        <v>0.18457651004529252</v>
      </c>
      <c r="J100" s="298">
        <v>0.21861320828195963</v>
      </c>
      <c r="K100" s="298">
        <v>0.14805460867942424</v>
      </c>
      <c r="L100" s="298">
        <v>0.10865726471480185</v>
      </c>
      <c r="M100" s="298">
        <v>8.7921961526698345E-2</v>
      </c>
      <c r="N100" s="298">
        <v>5.8256465500538285E-2</v>
      </c>
      <c r="O100" s="298">
        <v>4.4253058727944716E-2</v>
      </c>
      <c r="P100" s="298">
        <v>3.9509788445304235E-2</v>
      </c>
      <c r="Q100" s="298">
        <v>2.9542651780987427E-2</v>
      </c>
      <c r="R100" s="298">
        <v>2.8071591122090556E-2</v>
      </c>
      <c r="S100" s="298">
        <v>2.8071591122090556E-2</v>
      </c>
      <c r="T100" s="298">
        <v>2.8071591122090556E-2</v>
      </c>
      <c r="U100" s="298">
        <v>2.8071591122090556E-2</v>
      </c>
    </row>
    <row r="101" spans="1:21" ht="14.4" x14ac:dyDescent="0.3">
      <c r="A101" s="43">
        <v>39</v>
      </c>
      <c r="B101" s="43"/>
      <c r="C101" s="1"/>
      <c r="D101" s="298">
        <v>0.2079850899943797</v>
      </c>
      <c r="E101" s="298">
        <v>0.13041647508011303</v>
      </c>
      <c r="F101" s="298">
        <v>0.12947509110634475</v>
      </c>
      <c r="G101" s="298">
        <v>0.11009404781577684</v>
      </c>
      <c r="H101" s="298">
        <v>6.014929527512837E-2</v>
      </c>
      <c r="I101" s="298">
        <v>0.21949671273146126</v>
      </c>
      <c r="J101" s="298">
        <v>0.27640701454444089</v>
      </c>
      <c r="K101" s="298">
        <v>0.17818419975534588</v>
      </c>
      <c r="L101" s="298">
        <v>0.12256174642203793</v>
      </c>
      <c r="M101" s="298">
        <v>9.8387203409769475E-2</v>
      </c>
      <c r="N101" s="298">
        <v>7.1958024598108364E-2</v>
      </c>
      <c r="O101" s="298">
        <v>5.1366620792552581E-2</v>
      </c>
      <c r="P101" s="298">
        <v>4.2850088405828553E-2</v>
      </c>
      <c r="Q101" s="298">
        <v>3.5922322150466021E-2</v>
      </c>
      <c r="R101" s="298">
        <v>3.4556391879303032E-2</v>
      </c>
      <c r="S101" s="298">
        <v>3.4556391879303032E-2</v>
      </c>
      <c r="T101" s="298">
        <v>3.4556391879303032E-2</v>
      </c>
      <c r="U101" s="298">
        <v>3.4556391879303032E-2</v>
      </c>
    </row>
    <row r="102" spans="1:21" ht="14.4" x14ac:dyDescent="0.3">
      <c r="A102" s="43">
        <v>40</v>
      </c>
      <c r="B102" s="43"/>
      <c r="C102" s="1"/>
      <c r="D102" s="298">
        <v>0.15658261184107439</v>
      </c>
      <c r="E102" s="298">
        <v>6.9206297258360139E-2</v>
      </c>
      <c r="F102" s="298">
        <v>0.11719738000471913</v>
      </c>
      <c r="G102" s="298">
        <v>9.0950515996728487E-2</v>
      </c>
      <c r="H102" s="298">
        <v>5.6069430808107633E-2</v>
      </c>
      <c r="I102" s="298">
        <v>0.18457651004529252</v>
      </c>
      <c r="J102" s="298">
        <v>0.21861320828195963</v>
      </c>
      <c r="K102" s="298">
        <v>0.14805460867942424</v>
      </c>
      <c r="L102" s="298">
        <v>0.10865726471480185</v>
      </c>
      <c r="M102" s="298">
        <v>8.7921961526698345E-2</v>
      </c>
      <c r="N102" s="298">
        <v>5.8256465500538285E-2</v>
      </c>
      <c r="O102" s="298">
        <v>4.4253058727944716E-2</v>
      </c>
      <c r="P102" s="298">
        <v>3.9509788445304235E-2</v>
      </c>
      <c r="Q102" s="298">
        <v>2.9542651780987427E-2</v>
      </c>
      <c r="R102" s="298">
        <v>2.8071591122090556E-2</v>
      </c>
      <c r="S102" s="298">
        <v>2.8071591122090556E-2</v>
      </c>
      <c r="T102" s="298">
        <v>2.8071591122090556E-2</v>
      </c>
      <c r="U102" s="298">
        <v>2.8071591122090556E-2</v>
      </c>
    </row>
    <row r="103" spans="1:21" ht="14.4" x14ac:dyDescent="0.3">
      <c r="A103" s="43">
        <v>41</v>
      </c>
      <c r="B103" s="43"/>
      <c r="C103" s="1"/>
      <c r="D103" s="298">
        <v>2.9593523720748518</v>
      </c>
      <c r="E103" s="298">
        <v>1.3960448536050045</v>
      </c>
      <c r="F103" s="298">
        <v>0.9788469484846104</v>
      </c>
      <c r="G103" s="298">
        <v>0.76626902234982497</v>
      </c>
      <c r="H103" s="298">
        <v>0.64986432358583057</v>
      </c>
      <c r="I103" s="298">
        <v>0.49479101470748305</v>
      </c>
      <c r="J103" s="298">
        <v>0.39951328972932304</v>
      </c>
      <c r="K103" s="298">
        <v>0.41594580564321404</v>
      </c>
      <c r="L103" s="298">
        <v>0.37579029347140652</v>
      </c>
      <c r="M103" s="298">
        <v>0.32440122806902955</v>
      </c>
      <c r="N103" s="298">
        <v>0.30529874652047795</v>
      </c>
      <c r="O103" s="298">
        <v>0.272856325769609</v>
      </c>
      <c r="P103" s="298">
        <v>0.23528249165808171</v>
      </c>
      <c r="Q103" s="298">
        <v>0.21930268062364178</v>
      </c>
      <c r="R103" s="298">
        <v>0.21942223358685053</v>
      </c>
      <c r="S103" s="298">
        <v>0.21942223358685053</v>
      </c>
      <c r="T103" s="298">
        <v>0.21942223358685053</v>
      </c>
      <c r="U103" s="298">
        <v>0.21942223358685053</v>
      </c>
    </row>
    <row r="104" spans="1:21" ht="14.4" x14ac:dyDescent="0.3">
      <c r="A104" s="43">
        <v>42</v>
      </c>
      <c r="B104" s="43"/>
      <c r="C104" s="1"/>
      <c r="D104" s="298">
        <v>0.15658261184107439</v>
      </c>
      <c r="E104" s="298">
        <v>6.9206297258360139E-2</v>
      </c>
      <c r="F104" s="298">
        <v>0.11719738000471913</v>
      </c>
      <c r="G104" s="298">
        <v>9.0950515996728487E-2</v>
      </c>
      <c r="H104" s="298">
        <v>5.6069430808107633E-2</v>
      </c>
      <c r="I104" s="298">
        <v>0.18457651004529252</v>
      </c>
      <c r="J104" s="298">
        <v>0.21861320828195963</v>
      </c>
      <c r="K104" s="298">
        <v>0.14805460867942424</v>
      </c>
      <c r="L104" s="298">
        <v>0.10865726471480185</v>
      </c>
      <c r="M104" s="298">
        <v>8.7921961526698345E-2</v>
      </c>
      <c r="N104" s="298">
        <v>5.8256465500538285E-2</v>
      </c>
      <c r="O104" s="298">
        <v>4.4253058727944716E-2</v>
      </c>
      <c r="P104" s="298">
        <v>3.9509788445304235E-2</v>
      </c>
      <c r="Q104" s="298">
        <v>2.9542651780987427E-2</v>
      </c>
      <c r="R104" s="298">
        <v>2.8071591122090556E-2</v>
      </c>
      <c r="S104" s="298">
        <v>2.8071591122090556E-2</v>
      </c>
      <c r="T104" s="298">
        <v>2.8071591122090556E-2</v>
      </c>
      <c r="U104" s="298">
        <v>2.8071591122090556E-2</v>
      </c>
    </row>
    <row r="105" spans="1:21" ht="14.4" x14ac:dyDescent="0.3">
      <c r="A105" s="43">
        <v>43</v>
      </c>
      <c r="B105" s="43"/>
      <c r="C105" s="1"/>
      <c r="D105" s="298">
        <v>2.2178560512821952</v>
      </c>
      <c r="E105" s="298">
        <v>1.1905972320783262</v>
      </c>
      <c r="F105" s="298">
        <v>0.75615175660327605</v>
      </c>
      <c r="G105" s="298">
        <v>0.45362551647456517</v>
      </c>
      <c r="H105" s="298">
        <v>0.28528173727691464</v>
      </c>
      <c r="I105" s="298">
        <v>0.21779752656057286</v>
      </c>
      <c r="J105" s="298">
        <v>0.25538951981730396</v>
      </c>
      <c r="K105" s="298">
        <v>0.24818871965708805</v>
      </c>
      <c r="L105" s="298">
        <v>0.22308863199724832</v>
      </c>
      <c r="M105" s="298">
        <v>0.19779080449305989</v>
      </c>
      <c r="N105" s="298">
        <v>0.1877023014843526</v>
      </c>
      <c r="O105" s="298">
        <v>0.18024721970812474</v>
      </c>
      <c r="P105" s="298">
        <v>0.14969356494618877</v>
      </c>
      <c r="Q105" s="298">
        <v>0.15402172112964774</v>
      </c>
      <c r="R105" s="298">
        <v>0.14788153997371078</v>
      </c>
      <c r="S105" s="298">
        <v>0.14788153997371078</v>
      </c>
      <c r="T105" s="298">
        <v>0.14788153997371078</v>
      </c>
      <c r="U105" s="298">
        <v>0.14788153997371078</v>
      </c>
    </row>
    <row r="106" spans="1:21" ht="14.4" x14ac:dyDescent="0.3">
      <c r="A106" s="43">
        <v>44</v>
      </c>
      <c r="B106" s="43"/>
      <c r="C106" s="1"/>
      <c r="D106" s="298">
        <v>0.15658261184107439</v>
      </c>
      <c r="E106" s="298">
        <v>6.9206297258360139E-2</v>
      </c>
      <c r="F106" s="298">
        <v>0.11719738000471913</v>
      </c>
      <c r="G106" s="298">
        <v>9.0950515996728487E-2</v>
      </c>
      <c r="H106" s="298">
        <v>5.6069430808107633E-2</v>
      </c>
      <c r="I106" s="298">
        <v>0.18457651004529252</v>
      </c>
      <c r="J106" s="298">
        <v>0.21861320828195963</v>
      </c>
      <c r="K106" s="298">
        <v>0.14805460867942424</v>
      </c>
      <c r="L106" s="298">
        <v>0.10865726471480185</v>
      </c>
      <c r="M106" s="298">
        <v>8.7921961526698345E-2</v>
      </c>
      <c r="N106" s="298">
        <v>5.8256465500538285E-2</v>
      </c>
      <c r="O106" s="298">
        <v>4.4253058727944716E-2</v>
      </c>
      <c r="P106" s="298">
        <v>3.9509788445304235E-2</v>
      </c>
      <c r="Q106" s="298">
        <v>2.9542651780987427E-2</v>
      </c>
      <c r="R106" s="298">
        <v>2.8071591122090556E-2</v>
      </c>
      <c r="S106" s="298">
        <v>2.8071591122090556E-2</v>
      </c>
      <c r="T106" s="298">
        <v>2.8071591122090556E-2</v>
      </c>
      <c r="U106" s="298">
        <v>2.8071591122090556E-2</v>
      </c>
    </row>
    <row r="107" spans="1:21" ht="14.4" x14ac:dyDescent="0.3">
      <c r="A107" s="43">
        <v>45</v>
      </c>
      <c r="B107" s="43"/>
      <c r="C107" s="1"/>
      <c r="D107" s="298">
        <v>0.15674381381219379</v>
      </c>
      <c r="E107" s="298">
        <v>6.9135515452953725E-2</v>
      </c>
      <c r="F107" s="298">
        <v>0.11721931861181524</v>
      </c>
      <c r="G107" s="298">
        <v>9.0976276916425139E-2</v>
      </c>
      <c r="H107" s="298">
        <v>5.5974795488511517E-2</v>
      </c>
      <c r="I107" s="298">
        <v>0.18455139999068912</v>
      </c>
      <c r="J107" s="298">
        <v>0.21866515563030009</v>
      </c>
      <c r="K107" s="298">
        <v>0.14808361462956454</v>
      </c>
      <c r="L107" s="298">
        <v>0.10867252849450271</v>
      </c>
      <c r="M107" s="298">
        <v>8.7932880027034033E-2</v>
      </c>
      <c r="N107" s="298">
        <v>5.8261619608528936E-2</v>
      </c>
      <c r="O107" s="298">
        <v>4.4254803859095013E-2</v>
      </c>
      <c r="P107" s="298">
        <v>3.9511622355493263E-2</v>
      </c>
      <c r="Q107" s="298">
        <v>2.9543012509050892E-2</v>
      </c>
      <c r="R107" s="298">
        <v>2.8071590865564936E-2</v>
      </c>
      <c r="S107" s="298">
        <v>2.8071590865564936E-2</v>
      </c>
      <c r="T107" s="298">
        <v>2.8071590865564936E-2</v>
      </c>
      <c r="U107" s="298">
        <v>2.8071590865564936E-2</v>
      </c>
    </row>
    <row r="108" spans="1:21" ht="14.4" x14ac:dyDescent="0.3">
      <c r="A108" s="43">
        <v>46</v>
      </c>
      <c r="B108" s="43"/>
      <c r="C108" s="1"/>
      <c r="D108" s="298">
        <v>0.15658261184107439</v>
      </c>
      <c r="E108" s="298">
        <v>6.9206297258360139E-2</v>
      </c>
      <c r="F108" s="298">
        <v>0.11719738000471913</v>
      </c>
      <c r="G108" s="298">
        <v>9.0950515996728487E-2</v>
      </c>
      <c r="H108" s="298">
        <v>5.6069430808107633E-2</v>
      </c>
      <c r="I108" s="298">
        <v>0.18457651004529252</v>
      </c>
      <c r="J108" s="298">
        <v>0.21861320828195963</v>
      </c>
      <c r="K108" s="298">
        <v>0.14805460867942424</v>
      </c>
      <c r="L108" s="298">
        <v>0.10865726471480185</v>
      </c>
      <c r="M108" s="298">
        <v>8.7921961526698345E-2</v>
      </c>
      <c r="N108" s="298">
        <v>5.8256465500538285E-2</v>
      </c>
      <c r="O108" s="298">
        <v>4.4253058727944716E-2</v>
      </c>
      <c r="P108" s="298">
        <v>3.9509788445304235E-2</v>
      </c>
      <c r="Q108" s="298">
        <v>2.9542651780987427E-2</v>
      </c>
      <c r="R108" s="298">
        <v>2.8071591122090556E-2</v>
      </c>
      <c r="S108" s="298">
        <v>2.8071591122090556E-2</v>
      </c>
      <c r="T108" s="298">
        <v>2.8071591122090556E-2</v>
      </c>
      <c r="U108" s="298">
        <v>2.8071591122090556E-2</v>
      </c>
    </row>
    <row r="109" spans="1:21" ht="14.4" x14ac:dyDescent="0.3">
      <c r="A109" s="43">
        <v>47</v>
      </c>
      <c r="B109" s="43"/>
      <c r="C109" s="1"/>
      <c r="D109" s="298">
        <v>2.3268630691236321</v>
      </c>
      <c r="E109" s="298">
        <v>0.78641478977548207</v>
      </c>
      <c r="F109" s="298">
        <v>0.65683719239534155</v>
      </c>
      <c r="G109" s="298">
        <v>0.58143321676267457</v>
      </c>
      <c r="H109" s="298">
        <v>0.44928960665019158</v>
      </c>
      <c r="I109" s="298">
        <v>0.41294151992551731</v>
      </c>
      <c r="J109" s="298">
        <v>0.2940568330031525</v>
      </c>
      <c r="K109" s="298">
        <v>0.2786885915405366</v>
      </c>
      <c r="L109" s="298">
        <v>0.26697263616116279</v>
      </c>
      <c r="M109" s="298">
        <v>0.26064585390490097</v>
      </c>
      <c r="N109" s="298">
        <v>0.2367936036530196</v>
      </c>
      <c r="O109" s="298">
        <v>0.19038468562778788</v>
      </c>
      <c r="P109" s="298">
        <v>0.18456070692514012</v>
      </c>
      <c r="Q109" s="298">
        <v>0.16108516476637483</v>
      </c>
      <c r="R109" s="298">
        <v>0.15522073313539117</v>
      </c>
      <c r="S109" s="298">
        <v>0.15522073313539117</v>
      </c>
      <c r="T109" s="298">
        <v>0.15522073313539117</v>
      </c>
      <c r="U109" s="298">
        <v>0.15522073313539117</v>
      </c>
    </row>
    <row r="110" spans="1:21" ht="14.4" x14ac:dyDescent="0.3">
      <c r="A110" s="43">
        <v>48</v>
      </c>
      <c r="B110" s="43"/>
      <c r="C110" s="1"/>
      <c r="D110" s="298">
        <v>0.15658261184107439</v>
      </c>
      <c r="E110" s="298">
        <v>6.9206297258360139E-2</v>
      </c>
      <c r="F110" s="298">
        <v>0.11719738000471913</v>
      </c>
      <c r="G110" s="298">
        <v>9.0950515996728487E-2</v>
      </c>
      <c r="H110" s="298">
        <v>5.6069430808107633E-2</v>
      </c>
      <c r="I110" s="298">
        <v>0.18457651004529252</v>
      </c>
      <c r="J110" s="298">
        <v>0.21861320828195963</v>
      </c>
      <c r="K110" s="298">
        <v>0.14805460867942424</v>
      </c>
      <c r="L110" s="298">
        <v>0.10865726471480185</v>
      </c>
      <c r="M110" s="298">
        <v>8.7921961526698345E-2</v>
      </c>
      <c r="N110" s="298">
        <v>5.8256465500538285E-2</v>
      </c>
      <c r="O110" s="298">
        <v>4.4253058727944716E-2</v>
      </c>
      <c r="P110" s="298">
        <v>3.9509788445304235E-2</v>
      </c>
      <c r="Q110" s="298">
        <v>2.9542651780987427E-2</v>
      </c>
      <c r="R110" s="298">
        <v>2.8071591122090556E-2</v>
      </c>
      <c r="S110" s="298">
        <v>2.8071591122090556E-2</v>
      </c>
      <c r="T110" s="298">
        <v>2.8071591122090556E-2</v>
      </c>
      <c r="U110" s="298">
        <v>2.8071591122090556E-2</v>
      </c>
    </row>
    <row r="111" spans="1:21" ht="14.4" x14ac:dyDescent="0.3">
      <c r="A111" s="43">
        <v>49</v>
      </c>
      <c r="B111" s="43"/>
      <c r="C111" s="1"/>
      <c r="D111" s="298">
        <v>2.222090686942058</v>
      </c>
      <c r="E111" s="298">
        <v>0.8231320290067401</v>
      </c>
      <c r="F111" s="298">
        <v>0.54372728367538525</v>
      </c>
      <c r="G111" s="298">
        <v>0.33388586731319231</v>
      </c>
      <c r="H111" s="298">
        <v>0.20472977887589594</v>
      </c>
      <c r="I111" s="298">
        <v>0.16067909526322774</v>
      </c>
      <c r="J111" s="298">
        <v>0.19635848943192444</v>
      </c>
      <c r="K111" s="298">
        <v>0.18022284651166184</v>
      </c>
      <c r="L111" s="298">
        <v>0.15241194609444156</v>
      </c>
      <c r="M111" s="298">
        <v>0.14568078669873447</v>
      </c>
      <c r="N111" s="298">
        <v>0.14316623416465049</v>
      </c>
      <c r="O111" s="298">
        <v>0.11820986355275069</v>
      </c>
      <c r="P111" s="298">
        <v>0.11324661442841535</v>
      </c>
      <c r="Q111" s="298">
        <v>0.10591950094820782</v>
      </c>
      <c r="R111" s="298">
        <v>0.10181373046970461</v>
      </c>
      <c r="S111" s="298">
        <v>0.10181373046970461</v>
      </c>
      <c r="T111" s="298">
        <v>0.10181373046970461</v>
      </c>
      <c r="U111" s="298">
        <v>0.10181373046970461</v>
      </c>
    </row>
    <row r="112" spans="1:21" ht="14.4" x14ac:dyDescent="0.3">
      <c r="A112" s="43">
        <v>50</v>
      </c>
      <c r="B112" s="43"/>
      <c r="C112" s="1"/>
      <c r="D112" s="298">
        <v>0.15658261184107439</v>
      </c>
      <c r="E112" s="298">
        <v>6.9206297258360139E-2</v>
      </c>
      <c r="F112" s="298">
        <v>0.11719738000471913</v>
      </c>
      <c r="G112" s="298">
        <v>9.0950515996728487E-2</v>
      </c>
      <c r="H112" s="298">
        <v>5.6069430808107633E-2</v>
      </c>
      <c r="I112" s="298">
        <v>0.18457651004529252</v>
      </c>
      <c r="J112" s="298">
        <v>0.21861320828195963</v>
      </c>
      <c r="K112" s="298">
        <v>0.14805460867942424</v>
      </c>
      <c r="L112" s="298">
        <v>0.10865726471480185</v>
      </c>
      <c r="M112" s="298">
        <v>8.7921961526698345E-2</v>
      </c>
      <c r="N112" s="298">
        <v>5.8256465500538285E-2</v>
      </c>
      <c r="O112" s="298">
        <v>4.4253058727944716E-2</v>
      </c>
      <c r="P112" s="298">
        <v>3.9509788445304235E-2</v>
      </c>
      <c r="Q112" s="298">
        <v>2.9542651780987427E-2</v>
      </c>
      <c r="R112" s="298">
        <v>2.8071591122090556E-2</v>
      </c>
      <c r="S112" s="298">
        <v>2.8071591122090556E-2</v>
      </c>
      <c r="T112" s="298">
        <v>2.8071591122090556E-2</v>
      </c>
      <c r="U112" s="298">
        <v>2.8071591122090556E-2</v>
      </c>
    </row>
    <row r="113" spans="2:21" x14ac:dyDescent="0.25">
      <c r="D113" s="51"/>
    </row>
    <row r="114" spans="2:21" x14ac:dyDescent="0.25">
      <c r="B114" s="26" t="s">
        <v>5</v>
      </c>
      <c r="D114" s="32">
        <f t="shared" ref="D114:U114" si="7">SQRT(SUMSQ(D64:D112))</f>
        <v>163.93774717643851</v>
      </c>
      <c r="E114" s="32">
        <f t="shared" si="7"/>
        <v>113.48802501155089</v>
      </c>
      <c r="F114" s="32">
        <f t="shared" si="7"/>
        <v>92.201479834948017</v>
      </c>
      <c r="G114" s="32">
        <f t="shared" si="7"/>
        <v>70.914070764570482</v>
      </c>
      <c r="H114" s="32">
        <f t="shared" si="7"/>
        <v>54.750054571794223</v>
      </c>
      <c r="I114" s="32">
        <f t="shared" si="7"/>
        <v>45.409107972180678</v>
      </c>
      <c r="J114" s="32">
        <f t="shared" si="7"/>
        <v>40.452846599409661</v>
      </c>
      <c r="K114" s="32">
        <f t="shared" si="7"/>
        <v>36.567604373048553</v>
      </c>
      <c r="L114" s="32">
        <f t="shared" si="7"/>
        <v>33.722497172696237</v>
      </c>
      <c r="M114" s="32">
        <f t="shared" si="7"/>
        <v>31.537820676686238</v>
      </c>
      <c r="N114" s="32">
        <f t="shared" si="7"/>
        <v>28.353599859458789</v>
      </c>
      <c r="O114" s="32">
        <f t="shared" si="7"/>
        <v>26.003967172553079</v>
      </c>
      <c r="P114" s="32">
        <f t="shared" si="7"/>
        <v>24.160245237926446</v>
      </c>
      <c r="Q114" s="32">
        <f t="shared" si="7"/>
        <v>21.249690073067327</v>
      </c>
      <c r="R114" s="32">
        <f t="shared" si="7"/>
        <v>21.247242746791578</v>
      </c>
      <c r="S114" s="32">
        <f t="shared" si="7"/>
        <v>21.247242746791578</v>
      </c>
      <c r="T114" s="32">
        <f t="shared" si="7"/>
        <v>21.247242746791578</v>
      </c>
      <c r="U114" s="32">
        <f t="shared" si="7"/>
        <v>21.247242746791578</v>
      </c>
    </row>
    <row r="116" spans="2:21" x14ac:dyDescent="0.25">
      <c r="D116" s="32"/>
      <c r="E116" s="32"/>
      <c r="F116" s="32"/>
      <c r="G116" s="32"/>
      <c r="H116" s="32"/>
      <c r="I116" s="32"/>
    </row>
    <row r="118" spans="2:21" x14ac:dyDescent="0.25">
      <c r="D118" s="32"/>
      <c r="E118" s="32"/>
      <c r="F118" s="32"/>
      <c r="G118" s="32"/>
      <c r="H118" s="32"/>
      <c r="I118" s="32"/>
    </row>
  </sheetData>
  <pageMargins left="0.75" right="0.75" top="1" bottom="1" header="0.5" footer="0.5"/>
  <pageSetup scale="86" fitToWidth="2" fitToHeight="2" orientation="portrait" r:id="rId1"/>
  <headerFooter alignWithMargins="0">
    <oddHeader>&amp;R&amp;D
&amp;T
rh</oddHeader>
    <oddFooter>&amp;L&amp;F
&amp;A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U118"/>
  <sheetViews>
    <sheetView workbookViewId="0"/>
  </sheetViews>
  <sheetFormatPr defaultRowHeight="13.2" x14ac:dyDescent="0.25"/>
  <cols>
    <col min="1" max="6" width="9.109375" style="26"/>
    <col min="7" max="7" width="9.109375" style="26" customWidth="1"/>
    <col min="8" max="8" width="10.6640625" style="26" customWidth="1"/>
    <col min="9" max="262" width="9.109375" style="26"/>
    <col min="263" max="263" width="9.5546875" style="26" bestFit="1" customWidth="1"/>
    <col min="264" max="264" width="10.6640625" style="26" customWidth="1"/>
    <col min="265" max="518" width="9.109375" style="26"/>
    <col min="519" max="519" width="9.5546875" style="26" bestFit="1" customWidth="1"/>
    <col min="520" max="520" width="10.6640625" style="26" customWidth="1"/>
    <col min="521" max="774" width="9.109375" style="26"/>
    <col min="775" max="775" width="9.5546875" style="26" bestFit="1" customWidth="1"/>
    <col min="776" max="776" width="10.6640625" style="26" customWidth="1"/>
    <col min="777" max="1030" width="9.109375" style="26"/>
    <col min="1031" max="1031" width="9.5546875" style="26" bestFit="1" customWidth="1"/>
    <col min="1032" max="1032" width="10.6640625" style="26" customWidth="1"/>
    <col min="1033" max="1286" width="9.109375" style="26"/>
    <col min="1287" max="1287" width="9.5546875" style="26" bestFit="1" customWidth="1"/>
    <col min="1288" max="1288" width="10.6640625" style="26" customWidth="1"/>
    <col min="1289" max="1542" width="9.109375" style="26"/>
    <col min="1543" max="1543" width="9.5546875" style="26" bestFit="1" customWidth="1"/>
    <col min="1544" max="1544" width="10.6640625" style="26" customWidth="1"/>
    <col min="1545" max="1798" width="9.109375" style="26"/>
    <col min="1799" max="1799" width="9.5546875" style="26" bestFit="1" customWidth="1"/>
    <col min="1800" max="1800" width="10.6640625" style="26" customWidth="1"/>
    <col min="1801" max="2054" width="9.109375" style="26"/>
    <col min="2055" max="2055" width="9.5546875" style="26" bestFit="1" customWidth="1"/>
    <col min="2056" max="2056" width="10.6640625" style="26" customWidth="1"/>
    <col min="2057" max="2310" width="9.109375" style="26"/>
    <col min="2311" max="2311" width="9.5546875" style="26" bestFit="1" customWidth="1"/>
    <col min="2312" max="2312" width="10.6640625" style="26" customWidth="1"/>
    <col min="2313" max="2566" width="9.109375" style="26"/>
    <col min="2567" max="2567" width="9.5546875" style="26" bestFit="1" customWidth="1"/>
    <col min="2568" max="2568" width="10.6640625" style="26" customWidth="1"/>
    <col min="2569" max="2822" width="9.109375" style="26"/>
    <col min="2823" max="2823" width="9.5546875" style="26" bestFit="1" customWidth="1"/>
    <col min="2824" max="2824" width="10.6640625" style="26" customWidth="1"/>
    <col min="2825" max="3078" width="9.109375" style="26"/>
    <col min="3079" max="3079" width="9.5546875" style="26" bestFit="1" customWidth="1"/>
    <col min="3080" max="3080" width="10.6640625" style="26" customWidth="1"/>
    <col min="3081" max="3334" width="9.109375" style="26"/>
    <col min="3335" max="3335" width="9.5546875" style="26" bestFit="1" customWidth="1"/>
    <col min="3336" max="3336" width="10.6640625" style="26" customWidth="1"/>
    <col min="3337" max="3590" width="9.109375" style="26"/>
    <col min="3591" max="3591" width="9.5546875" style="26" bestFit="1" customWidth="1"/>
    <col min="3592" max="3592" width="10.6640625" style="26" customWidth="1"/>
    <col min="3593" max="3846" width="9.109375" style="26"/>
    <col min="3847" max="3847" width="9.5546875" style="26" bestFit="1" customWidth="1"/>
    <col min="3848" max="3848" width="10.6640625" style="26" customWidth="1"/>
    <col min="3849" max="4102" width="9.109375" style="26"/>
    <col min="4103" max="4103" width="9.5546875" style="26" bestFit="1" customWidth="1"/>
    <col min="4104" max="4104" width="10.6640625" style="26" customWidth="1"/>
    <col min="4105" max="4358" width="9.109375" style="26"/>
    <col min="4359" max="4359" width="9.5546875" style="26" bestFit="1" customWidth="1"/>
    <col min="4360" max="4360" width="10.6640625" style="26" customWidth="1"/>
    <col min="4361" max="4614" width="9.109375" style="26"/>
    <col min="4615" max="4615" width="9.5546875" style="26" bestFit="1" customWidth="1"/>
    <col min="4616" max="4616" width="10.6640625" style="26" customWidth="1"/>
    <col min="4617" max="4870" width="9.109375" style="26"/>
    <col min="4871" max="4871" width="9.5546875" style="26" bestFit="1" customWidth="1"/>
    <col min="4872" max="4872" width="10.6640625" style="26" customWidth="1"/>
    <col min="4873" max="5126" width="9.109375" style="26"/>
    <col min="5127" max="5127" width="9.5546875" style="26" bestFit="1" customWidth="1"/>
    <col min="5128" max="5128" width="10.6640625" style="26" customWidth="1"/>
    <col min="5129" max="5382" width="9.109375" style="26"/>
    <col min="5383" max="5383" width="9.5546875" style="26" bestFit="1" customWidth="1"/>
    <col min="5384" max="5384" width="10.6640625" style="26" customWidth="1"/>
    <col min="5385" max="5638" width="9.109375" style="26"/>
    <col min="5639" max="5639" width="9.5546875" style="26" bestFit="1" customWidth="1"/>
    <col min="5640" max="5640" width="10.6640625" style="26" customWidth="1"/>
    <col min="5641" max="5894" width="9.109375" style="26"/>
    <col min="5895" max="5895" width="9.5546875" style="26" bestFit="1" customWidth="1"/>
    <col min="5896" max="5896" width="10.6640625" style="26" customWidth="1"/>
    <col min="5897" max="6150" width="9.109375" style="26"/>
    <col min="6151" max="6151" width="9.5546875" style="26" bestFit="1" customWidth="1"/>
    <col min="6152" max="6152" width="10.6640625" style="26" customWidth="1"/>
    <col min="6153" max="6406" width="9.109375" style="26"/>
    <col min="6407" max="6407" width="9.5546875" style="26" bestFit="1" customWidth="1"/>
    <col min="6408" max="6408" width="10.6640625" style="26" customWidth="1"/>
    <col min="6409" max="6662" width="9.109375" style="26"/>
    <col min="6663" max="6663" width="9.5546875" style="26" bestFit="1" customWidth="1"/>
    <col min="6664" max="6664" width="10.6640625" style="26" customWidth="1"/>
    <col min="6665" max="6918" width="9.109375" style="26"/>
    <col min="6919" max="6919" width="9.5546875" style="26" bestFit="1" customWidth="1"/>
    <col min="6920" max="6920" width="10.6640625" style="26" customWidth="1"/>
    <col min="6921" max="7174" width="9.109375" style="26"/>
    <col min="7175" max="7175" width="9.5546875" style="26" bestFit="1" customWidth="1"/>
    <col min="7176" max="7176" width="10.6640625" style="26" customWidth="1"/>
    <col min="7177" max="7430" width="9.109375" style="26"/>
    <col min="7431" max="7431" width="9.5546875" style="26" bestFit="1" customWidth="1"/>
    <col min="7432" max="7432" width="10.6640625" style="26" customWidth="1"/>
    <col min="7433" max="7686" width="9.109375" style="26"/>
    <col min="7687" max="7687" width="9.5546875" style="26" bestFit="1" customWidth="1"/>
    <col min="7688" max="7688" width="10.6640625" style="26" customWidth="1"/>
    <col min="7689" max="7942" width="9.109375" style="26"/>
    <col min="7943" max="7943" width="9.5546875" style="26" bestFit="1" customWidth="1"/>
    <col min="7944" max="7944" width="10.6640625" style="26" customWidth="1"/>
    <col min="7945" max="8198" width="9.109375" style="26"/>
    <col min="8199" max="8199" width="9.5546875" style="26" bestFit="1" customWidth="1"/>
    <col min="8200" max="8200" width="10.6640625" style="26" customWidth="1"/>
    <col min="8201" max="8454" width="9.109375" style="26"/>
    <col min="8455" max="8455" width="9.5546875" style="26" bestFit="1" customWidth="1"/>
    <col min="8456" max="8456" width="10.6640625" style="26" customWidth="1"/>
    <col min="8457" max="8710" width="9.109375" style="26"/>
    <col min="8711" max="8711" width="9.5546875" style="26" bestFit="1" customWidth="1"/>
    <col min="8712" max="8712" width="10.6640625" style="26" customWidth="1"/>
    <col min="8713" max="8966" width="9.109375" style="26"/>
    <col min="8967" max="8967" width="9.5546875" style="26" bestFit="1" customWidth="1"/>
    <col min="8968" max="8968" width="10.6640625" style="26" customWidth="1"/>
    <col min="8969" max="9222" width="9.109375" style="26"/>
    <col min="9223" max="9223" width="9.5546875" style="26" bestFit="1" customWidth="1"/>
    <col min="9224" max="9224" width="10.6640625" style="26" customWidth="1"/>
    <col min="9225" max="9478" width="9.109375" style="26"/>
    <col min="9479" max="9479" width="9.5546875" style="26" bestFit="1" customWidth="1"/>
    <col min="9480" max="9480" width="10.6640625" style="26" customWidth="1"/>
    <col min="9481" max="9734" width="9.109375" style="26"/>
    <col min="9735" max="9735" width="9.5546875" style="26" bestFit="1" customWidth="1"/>
    <col min="9736" max="9736" width="10.6640625" style="26" customWidth="1"/>
    <col min="9737" max="9990" width="9.109375" style="26"/>
    <col min="9991" max="9991" width="9.5546875" style="26" bestFit="1" customWidth="1"/>
    <col min="9992" max="9992" width="10.6640625" style="26" customWidth="1"/>
    <col min="9993" max="10246" width="9.109375" style="26"/>
    <col min="10247" max="10247" width="9.5546875" style="26" bestFit="1" customWidth="1"/>
    <col min="10248" max="10248" width="10.6640625" style="26" customWidth="1"/>
    <col min="10249" max="10502" width="9.109375" style="26"/>
    <col min="10503" max="10503" width="9.5546875" style="26" bestFit="1" customWidth="1"/>
    <col min="10504" max="10504" width="10.6640625" style="26" customWidth="1"/>
    <col min="10505" max="10758" width="9.109375" style="26"/>
    <col min="10759" max="10759" width="9.5546875" style="26" bestFit="1" customWidth="1"/>
    <col min="10760" max="10760" width="10.6640625" style="26" customWidth="1"/>
    <col min="10761" max="11014" width="9.109375" style="26"/>
    <col min="11015" max="11015" width="9.5546875" style="26" bestFit="1" customWidth="1"/>
    <col min="11016" max="11016" width="10.6640625" style="26" customWidth="1"/>
    <col min="11017" max="11270" width="9.109375" style="26"/>
    <col min="11271" max="11271" width="9.5546875" style="26" bestFit="1" customWidth="1"/>
    <col min="11272" max="11272" width="10.6640625" style="26" customWidth="1"/>
    <col min="11273" max="11526" width="9.109375" style="26"/>
    <col min="11527" max="11527" width="9.5546875" style="26" bestFit="1" customWidth="1"/>
    <col min="11528" max="11528" width="10.6640625" style="26" customWidth="1"/>
    <col min="11529" max="11782" width="9.109375" style="26"/>
    <col min="11783" max="11783" width="9.5546875" style="26" bestFit="1" customWidth="1"/>
    <col min="11784" max="11784" width="10.6640625" style="26" customWidth="1"/>
    <col min="11785" max="12038" width="9.109375" style="26"/>
    <col min="12039" max="12039" width="9.5546875" style="26" bestFit="1" customWidth="1"/>
    <col min="12040" max="12040" width="10.6640625" style="26" customWidth="1"/>
    <col min="12041" max="12294" width="9.109375" style="26"/>
    <col min="12295" max="12295" width="9.5546875" style="26" bestFit="1" customWidth="1"/>
    <col min="12296" max="12296" width="10.6640625" style="26" customWidth="1"/>
    <col min="12297" max="12550" width="9.109375" style="26"/>
    <col min="12551" max="12551" width="9.5546875" style="26" bestFit="1" customWidth="1"/>
    <col min="12552" max="12552" width="10.6640625" style="26" customWidth="1"/>
    <col min="12553" max="12806" width="9.109375" style="26"/>
    <col min="12807" max="12807" width="9.5546875" style="26" bestFit="1" customWidth="1"/>
    <col min="12808" max="12808" width="10.6640625" style="26" customWidth="1"/>
    <col min="12809" max="13062" width="9.109375" style="26"/>
    <col min="13063" max="13063" width="9.5546875" style="26" bestFit="1" customWidth="1"/>
    <col min="13064" max="13064" width="10.6640625" style="26" customWidth="1"/>
    <col min="13065" max="13318" width="9.109375" style="26"/>
    <col min="13319" max="13319" width="9.5546875" style="26" bestFit="1" customWidth="1"/>
    <col min="13320" max="13320" width="10.6640625" style="26" customWidth="1"/>
    <col min="13321" max="13574" width="9.109375" style="26"/>
    <col min="13575" max="13575" width="9.5546875" style="26" bestFit="1" customWidth="1"/>
    <col min="13576" max="13576" width="10.6640625" style="26" customWidth="1"/>
    <col min="13577" max="13830" width="9.109375" style="26"/>
    <col min="13831" max="13831" width="9.5546875" style="26" bestFit="1" customWidth="1"/>
    <col min="13832" max="13832" width="10.6640625" style="26" customWidth="1"/>
    <col min="13833" max="14086" width="9.109375" style="26"/>
    <col min="14087" max="14087" width="9.5546875" style="26" bestFit="1" customWidth="1"/>
    <col min="14088" max="14088" width="10.6640625" style="26" customWidth="1"/>
    <col min="14089" max="14342" width="9.109375" style="26"/>
    <col min="14343" max="14343" width="9.5546875" style="26" bestFit="1" customWidth="1"/>
    <col min="14344" max="14344" width="10.6640625" style="26" customWidth="1"/>
    <col min="14345" max="14598" width="9.109375" style="26"/>
    <col min="14599" max="14599" width="9.5546875" style="26" bestFit="1" customWidth="1"/>
    <col min="14600" max="14600" width="10.6640625" style="26" customWidth="1"/>
    <col min="14601" max="14854" width="9.109375" style="26"/>
    <col min="14855" max="14855" width="9.5546875" style="26" bestFit="1" customWidth="1"/>
    <col min="14856" max="14856" width="10.6640625" style="26" customWidth="1"/>
    <col min="14857" max="15110" width="9.109375" style="26"/>
    <col min="15111" max="15111" width="9.5546875" style="26" bestFit="1" customWidth="1"/>
    <col min="15112" max="15112" width="10.6640625" style="26" customWidth="1"/>
    <col min="15113" max="15366" width="9.109375" style="26"/>
    <col min="15367" max="15367" width="9.5546875" style="26" bestFit="1" customWidth="1"/>
    <col min="15368" max="15368" width="10.6640625" style="26" customWidth="1"/>
    <col min="15369" max="15622" width="9.109375" style="26"/>
    <col min="15623" max="15623" width="9.5546875" style="26" bestFit="1" customWidth="1"/>
    <col min="15624" max="15624" width="10.6640625" style="26" customWidth="1"/>
    <col min="15625" max="15878" width="9.109375" style="26"/>
    <col min="15879" max="15879" width="9.5546875" style="26" bestFit="1" customWidth="1"/>
    <col min="15880" max="15880" width="10.6640625" style="26" customWidth="1"/>
    <col min="15881" max="16134" width="9.109375" style="26"/>
    <col min="16135" max="16135" width="9.5546875" style="26" bestFit="1" customWidth="1"/>
    <col min="16136" max="16136" width="10.6640625" style="26" customWidth="1"/>
    <col min="16137" max="16384" width="9.109375" style="26"/>
  </cols>
  <sheetData>
    <row r="1" spans="1:15" ht="13.8" thickBot="1" x14ac:dyDescent="0.3">
      <c r="A1" s="84" t="s">
        <v>290</v>
      </c>
      <c r="B1" s="275" t="s">
        <v>402</v>
      </c>
      <c r="C1" s="33">
        <f>Drives!BA33</f>
        <v>38490.017945975058</v>
      </c>
      <c r="D1" s="28" t="s">
        <v>7</v>
      </c>
      <c r="E1" s="300">
        <v>8</v>
      </c>
      <c r="F1" s="301">
        <f>MAX(0.1,E1+100/C1)</f>
        <v>8.0025980762113527</v>
      </c>
      <c r="G1" s="36" t="s">
        <v>1</v>
      </c>
      <c r="H1" s="29">
        <f>IF(J1=0,0,H4/J1)</f>
        <v>0</v>
      </c>
      <c r="I1" s="54" t="s">
        <v>94</v>
      </c>
      <c r="J1" s="34">
        <f>Drives!Z33</f>
        <v>0</v>
      </c>
      <c r="K1" s="26" t="s">
        <v>84</v>
      </c>
      <c r="N1" s="254">
        <v>0.95499999999999996</v>
      </c>
      <c r="O1" s="26" t="s">
        <v>176</v>
      </c>
    </row>
    <row r="2" spans="1:15" x14ac:dyDescent="0.25">
      <c r="A2" s="269" t="s">
        <v>88</v>
      </c>
      <c r="B2" s="276">
        <v>33</v>
      </c>
      <c r="D2" s="26">
        <f>C4+1</f>
        <v>10</v>
      </c>
      <c r="E2" s="41">
        <f>F1-C3</f>
        <v>2.5980762113526623E-3</v>
      </c>
      <c r="F2" s="36"/>
      <c r="G2" s="36"/>
      <c r="J2" s="29">
        <f>IF(J1&gt;=0.6, 0.7+(J1-0.6)*0.75, IF(J1&gt;=0.2, 0.3+(J1-0.2)*1, J1*1.5))</f>
        <v>0</v>
      </c>
      <c r="K2" s="26" t="s">
        <v>60</v>
      </c>
    </row>
    <row r="3" spans="1:15" ht="13.8" thickBot="1" x14ac:dyDescent="0.3">
      <c r="A3" s="270" t="s">
        <v>91</v>
      </c>
      <c r="C3" s="41">
        <f>HLOOKUP($F$1,$D$62:$U$113,(B3+1))</f>
        <v>8</v>
      </c>
      <c r="D3" s="41">
        <f>HLOOKUP($D$2,$D$61:$U$113,(B3+2))</f>
        <v>10</v>
      </c>
      <c r="E3" s="26">
        <f>D3-C3</f>
        <v>2</v>
      </c>
      <c r="F3" s="26">
        <f>IF(E3=0,1,E2/E3)</f>
        <v>1.2990381056763312E-3</v>
      </c>
      <c r="G3" s="32">
        <f>C3+(E3*F3)</f>
        <v>8.0025980762113527</v>
      </c>
      <c r="J3" s="31"/>
    </row>
    <row r="4" spans="1:15" ht="13.8" thickBot="1" x14ac:dyDescent="0.3">
      <c r="A4" s="31" t="s">
        <v>90</v>
      </c>
      <c r="B4" s="26">
        <v>1</v>
      </c>
      <c r="C4" s="302">
        <f t="shared" ref="C4:C53" si="0">HLOOKUP($F$1,$D$62:$U$113,(B4+1))</f>
        <v>9</v>
      </c>
      <c r="D4" s="302">
        <f t="shared" ref="D4:D53" si="1">HLOOKUP($D$2,$D$61:$U$113,(B4+2))</f>
        <v>10</v>
      </c>
      <c r="G4" s="27">
        <v>100</v>
      </c>
      <c r="H4" s="34">
        <f>Drives!AR33</f>
        <v>0</v>
      </c>
      <c r="I4" s="26" t="s">
        <v>53</v>
      </c>
    </row>
    <row r="5" spans="1:15" x14ac:dyDescent="0.25">
      <c r="A5" s="31"/>
      <c r="B5" s="26">
        <v>2</v>
      </c>
      <c r="C5" s="52">
        <f t="shared" si="0"/>
        <v>1.2571907703050382E-2</v>
      </c>
      <c r="D5" s="52">
        <f t="shared" si="1"/>
        <v>2.636287592484499E-2</v>
      </c>
      <c r="E5" s="48">
        <f t="shared" ref="E5:E53" si="2">D5-C5</f>
        <v>1.3790968221794608E-2</v>
      </c>
      <c r="F5" s="48">
        <f t="shared" ref="F5:F53" si="3">E5*$F$3</f>
        <v>1.7914993234282548E-5</v>
      </c>
      <c r="G5" s="48">
        <f t="shared" ref="G5:G53" si="4">C5+F5</f>
        <v>1.2589822696284664E-2</v>
      </c>
      <c r="H5" s="30">
        <f>J$2*G5*$H$1/100</f>
        <v>0</v>
      </c>
    </row>
    <row r="6" spans="1:15" x14ac:dyDescent="0.25">
      <c r="A6" s="270" t="s">
        <v>405</v>
      </c>
      <c r="B6" s="26">
        <v>3</v>
      </c>
      <c r="C6" s="52">
        <f t="shared" si="0"/>
        <v>2.8652501742303245</v>
      </c>
      <c r="D6" s="52">
        <f t="shared" si="1"/>
        <v>1.976424393859703</v>
      </c>
      <c r="E6" s="48">
        <f t="shared" si="2"/>
        <v>-0.88882578037062143</v>
      </c>
      <c r="F6" s="48">
        <f t="shared" si="3"/>
        <v>-1.1546185580089388E-3</v>
      </c>
      <c r="G6" s="48">
        <f t="shared" si="4"/>
        <v>2.8640955556723156</v>
      </c>
      <c r="H6" s="30">
        <f t="shared" ref="H6:H53" si="5">J$2*G6*$H$1/100</f>
        <v>0</v>
      </c>
    </row>
    <row r="7" spans="1:15" x14ac:dyDescent="0.25">
      <c r="A7" s="270" t="s">
        <v>92</v>
      </c>
      <c r="B7" s="26">
        <v>4</v>
      </c>
      <c r="C7" s="52">
        <f t="shared" si="0"/>
        <v>1.4672119245636975E-2</v>
      </c>
      <c r="D7" s="52">
        <f t="shared" si="1"/>
        <v>3.4977738354405041E-3</v>
      </c>
      <c r="E7" s="48">
        <f t="shared" si="2"/>
        <v>-1.1174345410196471E-2</v>
      </c>
      <c r="F7" s="48">
        <f t="shared" si="3"/>
        <v>-1.4515900493834629E-5</v>
      </c>
      <c r="G7" s="48">
        <f t="shared" si="4"/>
        <v>1.465760334514314E-2</v>
      </c>
      <c r="H7" s="30">
        <f t="shared" si="5"/>
        <v>0</v>
      </c>
    </row>
    <row r="8" spans="1:15" x14ac:dyDescent="0.25">
      <c r="A8" s="50"/>
      <c r="B8" s="26">
        <v>5</v>
      </c>
      <c r="C8" s="52">
        <f t="shared" si="0"/>
        <v>29.833911528390878</v>
      </c>
      <c r="D8" s="52">
        <f t="shared" si="1"/>
        <v>26.829447444032468</v>
      </c>
      <c r="E8" s="48">
        <f t="shared" si="2"/>
        <v>-3.0044640843584105</v>
      </c>
      <c r="F8" s="48">
        <f t="shared" si="3"/>
        <v>-3.9029133327175224E-3</v>
      </c>
      <c r="G8" s="48">
        <f t="shared" si="4"/>
        <v>29.830008615058162</v>
      </c>
      <c r="H8" s="30">
        <f t="shared" si="5"/>
        <v>0</v>
      </c>
    </row>
    <row r="9" spans="1:15" x14ac:dyDescent="0.25">
      <c r="A9" s="50"/>
      <c r="B9" s="26">
        <v>6</v>
      </c>
      <c r="C9" s="52">
        <f t="shared" si="0"/>
        <v>7.3330327729595772E-3</v>
      </c>
      <c r="D9" s="52">
        <f t="shared" si="1"/>
        <v>4.9368015428742544E-3</v>
      </c>
      <c r="E9" s="48">
        <f t="shared" si="2"/>
        <v>-2.3962312300853227E-3</v>
      </c>
      <c r="F9" s="48">
        <f t="shared" si="3"/>
        <v>-3.1127956778925025E-6</v>
      </c>
      <c r="G9" s="48">
        <f t="shared" si="4"/>
        <v>7.3299199772816842E-3</v>
      </c>
      <c r="H9" s="30">
        <f t="shared" si="5"/>
        <v>0</v>
      </c>
    </row>
    <row r="10" spans="1:15" x14ac:dyDescent="0.25">
      <c r="B10" s="26">
        <v>7</v>
      </c>
      <c r="C10" s="52">
        <f t="shared" si="0"/>
        <v>6.8022663683683335</v>
      </c>
      <c r="D10" s="52">
        <f t="shared" si="1"/>
        <v>6.5166708279323533</v>
      </c>
      <c r="E10" s="48">
        <f t="shared" si="2"/>
        <v>-0.28559554043598023</v>
      </c>
      <c r="F10" s="48">
        <f t="shared" si="3"/>
        <v>-3.709994898375638E-4</v>
      </c>
      <c r="G10" s="48">
        <f t="shared" si="4"/>
        <v>6.8018953688784958</v>
      </c>
      <c r="H10" s="30">
        <f t="shared" si="5"/>
        <v>0</v>
      </c>
    </row>
    <row r="11" spans="1:15" x14ac:dyDescent="0.25">
      <c r="B11" s="26">
        <v>8</v>
      </c>
      <c r="C11" s="52">
        <f t="shared" si="0"/>
        <v>4.3473848598230228E-3</v>
      </c>
      <c r="D11" s="52">
        <f t="shared" si="1"/>
        <v>2.5415807506222721E-3</v>
      </c>
      <c r="E11" s="48">
        <f t="shared" si="2"/>
        <v>-1.8058041092007507E-3</v>
      </c>
      <c r="F11" s="48">
        <f t="shared" si="3"/>
        <v>-2.345808349238678E-6</v>
      </c>
      <c r="G11" s="48">
        <f t="shared" si="4"/>
        <v>4.3450390514737838E-3</v>
      </c>
      <c r="H11" s="30">
        <f t="shared" si="5"/>
        <v>0</v>
      </c>
    </row>
    <row r="12" spans="1:15" x14ac:dyDescent="0.25">
      <c r="B12" s="26">
        <v>9</v>
      </c>
      <c r="C12" s="52">
        <f t="shared" si="0"/>
        <v>0.50610374236669098</v>
      </c>
      <c r="D12" s="52">
        <f t="shared" si="1"/>
        <v>0.31868142208094846</v>
      </c>
      <c r="E12" s="48">
        <f t="shared" si="2"/>
        <v>-0.18742232028574252</v>
      </c>
      <c r="F12" s="48">
        <f t="shared" si="3"/>
        <v>-2.4346873590545357E-4</v>
      </c>
      <c r="G12" s="48">
        <f t="shared" si="4"/>
        <v>0.50586027363078556</v>
      </c>
      <c r="H12" s="30">
        <f t="shared" si="5"/>
        <v>0</v>
      </c>
    </row>
    <row r="13" spans="1:15" x14ac:dyDescent="0.25">
      <c r="B13" s="26">
        <v>10</v>
      </c>
      <c r="C13" s="52">
        <f t="shared" si="0"/>
        <v>9.5446111698385379E-4</v>
      </c>
      <c r="D13" s="52">
        <f t="shared" si="1"/>
        <v>5.9000829249238182E-3</v>
      </c>
      <c r="E13" s="48">
        <f t="shared" si="2"/>
        <v>4.9456218079399639E-3</v>
      </c>
      <c r="F13" s="48">
        <f t="shared" si="3"/>
        <v>6.4245511847778831E-6</v>
      </c>
      <c r="G13" s="48">
        <f t="shared" si="4"/>
        <v>9.6088566816863172E-4</v>
      </c>
      <c r="H13" s="30">
        <f t="shared" si="5"/>
        <v>0</v>
      </c>
    </row>
    <row r="14" spans="1:15" x14ac:dyDescent="0.25">
      <c r="B14" s="26">
        <v>11</v>
      </c>
      <c r="C14" s="52">
        <f t="shared" si="0"/>
        <v>5.6151234987755405</v>
      </c>
      <c r="D14" s="52">
        <f t="shared" si="1"/>
        <v>4.7731220793376856</v>
      </c>
      <c r="E14" s="48">
        <f t="shared" si="2"/>
        <v>-0.84200141943785489</v>
      </c>
      <c r="F14" s="48">
        <f t="shared" si="3"/>
        <v>-1.0937919288833329E-3</v>
      </c>
      <c r="G14" s="48">
        <f t="shared" si="4"/>
        <v>5.6140297068466571</v>
      </c>
      <c r="H14" s="30">
        <f t="shared" si="5"/>
        <v>0</v>
      </c>
    </row>
    <row r="15" spans="1:15" x14ac:dyDescent="0.25">
      <c r="B15" s="26">
        <v>12</v>
      </c>
      <c r="C15" s="52">
        <f t="shared" si="0"/>
        <v>2.8137542278655172E-3</v>
      </c>
      <c r="D15" s="52">
        <f t="shared" si="1"/>
        <v>3.3387817150023614E-3</v>
      </c>
      <c r="E15" s="48">
        <f t="shared" si="2"/>
        <v>5.2502748713684428E-4</v>
      </c>
      <c r="F15" s="48">
        <f t="shared" si="3"/>
        <v>6.8203071231825052E-7</v>
      </c>
      <c r="G15" s="48">
        <f t="shared" si="4"/>
        <v>2.8144362585778354E-3</v>
      </c>
      <c r="H15" s="30">
        <f t="shared" si="5"/>
        <v>0</v>
      </c>
    </row>
    <row r="16" spans="1:15" x14ac:dyDescent="0.25">
      <c r="B16" s="26">
        <v>13</v>
      </c>
      <c r="C16" s="52">
        <f t="shared" si="0"/>
        <v>3.1114405010378423</v>
      </c>
      <c r="D16" s="52">
        <f t="shared" si="1"/>
        <v>2.9413990501469054</v>
      </c>
      <c r="E16" s="48">
        <f t="shared" si="2"/>
        <v>-0.17004145089093692</v>
      </c>
      <c r="F16" s="48">
        <f t="shared" si="3"/>
        <v>-2.208903242518176E-4</v>
      </c>
      <c r="G16" s="48">
        <f t="shared" si="4"/>
        <v>3.1112196107135905</v>
      </c>
      <c r="H16" s="30">
        <f t="shared" si="5"/>
        <v>0</v>
      </c>
    </row>
    <row r="17" spans="2:8" x14ac:dyDescent="0.25">
      <c r="B17" s="26">
        <v>14</v>
      </c>
      <c r="C17" s="52">
        <f t="shared" si="0"/>
        <v>6.7573395777536377E-3</v>
      </c>
      <c r="D17" s="52">
        <f t="shared" si="1"/>
        <v>6.0541163970223889E-3</v>
      </c>
      <c r="E17" s="48">
        <f t="shared" si="2"/>
        <v>-7.0322318073124876E-4</v>
      </c>
      <c r="F17" s="48">
        <f t="shared" si="3"/>
        <v>-9.1351370856480568E-7</v>
      </c>
      <c r="G17" s="48">
        <f t="shared" si="4"/>
        <v>6.7564260640450725E-3</v>
      </c>
      <c r="H17" s="30">
        <f t="shared" si="5"/>
        <v>0</v>
      </c>
    </row>
    <row r="18" spans="2:8" x14ac:dyDescent="0.25">
      <c r="B18" s="26">
        <v>15</v>
      </c>
      <c r="C18" s="52">
        <f t="shared" si="0"/>
        <v>0.24590737646040681</v>
      </c>
      <c r="D18" s="52">
        <f t="shared" si="1"/>
        <v>0.17863761703347875</v>
      </c>
      <c r="E18" s="48">
        <f t="shared" si="2"/>
        <v>-6.7269759426928061E-2</v>
      </c>
      <c r="F18" s="48">
        <f t="shared" si="3"/>
        <v>-8.7385980855259147E-5</v>
      </c>
      <c r="G18" s="48">
        <f t="shared" si="4"/>
        <v>0.24581999047955155</v>
      </c>
      <c r="H18" s="30">
        <f t="shared" si="5"/>
        <v>0</v>
      </c>
    </row>
    <row r="19" spans="2:8" x14ac:dyDescent="0.25">
      <c r="B19" s="26">
        <v>16</v>
      </c>
      <c r="C19" s="52">
        <f t="shared" si="0"/>
        <v>4.9258459762198314E-3</v>
      </c>
      <c r="D19" s="52">
        <f t="shared" si="1"/>
        <v>1.5412362332936629E-3</v>
      </c>
      <c r="E19" s="48">
        <f t="shared" si="2"/>
        <v>-3.3846097429261687E-3</v>
      </c>
      <c r="F19" s="48">
        <f t="shared" si="3"/>
        <v>-4.3967370289044642E-6</v>
      </c>
      <c r="G19" s="48">
        <f t="shared" si="4"/>
        <v>4.9214492391909271E-3</v>
      </c>
      <c r="H19" s="30">
        <f t="shared" si="5"/>
        <v>0</v>
      </c>
    </row>
    <row r="20" spans="2:8" x14ac:dyDescent="0.25">
      <c r="B20" s="26">
        <v>17</v>
      </c>
      <c r="C20" s="52">
        <f t="shared" si="0"/>
        <v>1.850567348179557</v>
      </c>
      <c r="D20" s="52">
        <f t="shared" si="1"/>
        <v>1.5324828885585096</v>
      </c>
      <c r="E20" s="48">
        <f t="shared" si="2"/>
        <v>-0.31808445962104748</v>
      </c>
      <c r="F20" s="48">
        <f t="shared" si="3"/>
        <v>-4.1320383387120495E-4</v>
      </c>
      <c r="G20" s="48">
        <f t="shared" si="4"/>
        <v>1.8501541443456859</v>
      </c>
      <c r="H20" s="30">
        <f t="shared" si="5"/>
        <v>0</v>
      </c>
    </row>
    <row r="21" spans="2:8" x14ac:dyDescent="0.25">
      <c r="B21" s="26">
        <v>18</v>
      </c>
      <c r="C21" s="52">
        <f t="shared" si="0"/>
        <v>3.4207800467921257E-3</v>
      </c>
      <c r="D21" s="52">
        <f t="shared" si="1"/>
        <v>2.3022193218101682E-3</v>
      </c>
      <c r="E21" s="48">
        <f t="shared" si="2"/>
        <v>-1.1185607249819575E-3</v>
      </c>
      <c r="F21" s="48">
        <f t="shared" si="3"/>
        <v>-1.4530530052645057E-6</v>
      </c>
      <c r="G21" s="48">
        <f t="shared" si="4"/>
        <v>3.4193269937868613E-3</v>
      </c>
      <c r="H21" s="30">
        <f t="shared" si="5"/>
        <v>0</v>
      </c>
    </row>
    <row r="22" spans="2:8" x14ac:dyDescent="0.25">
      <c r="B22" s="26">
        <v>19</v>
      </c>
      <c r="C22" s="52">
        <f t="shared" si="0"/>
        <v>1.5015094716885002</v>
      </c>
      <c r="D22" s="52">
        <f t="shared" si="1"/>
        <v>1.1978760529333901</v>
      </c>
      <c r="E22" s="48">
        <f t="shared" si="2"/>
        <v>-0.30363341875511018</v>
      </c>
      <c r="F22" s="48">
        <f t="shared" si="3"/>
        <v>-3.9443138111966653E-4</v>
      </c>
      <c r="G22" s="48">
        <f t="shared" si="4"/>
        <v>1.5011150403073805</v>
      </c>
      <c r="H22" s="30">
        <f t="shared" si="5"/>
        <v>0</v>
      </c>
    </row>
    <row r="23" spans="2:8" x14ac:dyDescent="0.25">
      <c r="B23" s="26">
        <v>20</v>
      </c>
      <c r="C23" s="52">
        <f t="shared" si="0"/>
        <v>3.9990621565117561E-3</v>
      </c>
      <c r="D23" s="52">
        <f t="shared" si="1"/>
        <v>4.289924599988241E-3</v>
      </c>
      <c r="E23" s="48">
        <f t="shared" si="2"/>
        <v>2.9086244347648494E-4</v>
      </c>
      <c r="F23" s="48">
        <f t="shared" si="3"/>
        <v>3.7784139758608193E-7</v>
      </c>
      <c r="G23" s="48">
        <f t="shared" si="4"/>
        <v>3.9994399979093424E-3</v>
      </c>
      <c r="H23" s="30">
        <f t="shared" si="5"/>
        <v>0</v>
      </c>
    </row>
    <row r="24" spans="2:8" x14ac:dyDescent="0.25">
      <c r="B24" s="26">
        <v>21</v>
      </c>
      <c r="C24" s="52">
        <f t="shared" si="0"/>
        <v>0.20143664947276263</v>
      </c>
      <c r="D24" s="52">
        <f t="shared" si="1"/>
        <v>0.14886071320433725</v>
      </c>
      <c r="E24" s="48">
        <f t="shared" si="2"/>
        <v>-5.2575936268425383E-2</v>
      </c>
      <c r="F24" s="48">
        <f t="shared" si="3"/>
        <v>-6.8298144654294825E-5</v>
      </c>
      <c r="G24" s="48">
        <f t="shared" si="4"/>
        <v>0.20136835132810835</v>
      </c>
      <c r="H24" s="30">
        <f t="shared" si="5"/>
        <v>0</v>
      </c>
    </row>
    <row r="25" spans="2:8" x14ac:dyDescent="0.25">
      <c r="B25" s="26">
        <v>22</v>
      </c>
      <c r="C25" s="52">
        <f t="shared" si="0"/>
        <v>2.8422690440152187E-3</v>
      </c>
      <c r="D25" s="52">
        <f t="shared" si="1"/>
        <v>1.7693174251628295E-3</v>
      </c>
      <c r="E25" s="48">
        <f t="shared" si="2"/>
        <v>-1.0729516188523892E-3</v>
      </c>
      <c r="F25" s="48">
        <f t="shared" si="3"/>
        <v>-1.3938050384363606E-6</v>
      </c>
      <c r="G25" s="48">
        <f t="shared" si="4"/>
        <v>2.8408752389767825E-3</v>
      </c>
      <c r="H25" s="30">
        <f t="shared" si="5"/>
        <v>0</v>
      </c>
    </row>
    <row r="26" spans="2:8" x14ac:dyDescent="0.25">
      <c r="B26" s="26">
        <v>23</v>
      </c>
      <c r="C26" s="52">
        <f t="shared" si="0"/>
        <v>0.98668776275695924</v>
      </c>
      <c r="D26" s="52">
        <f t="shared" si="1"/>
        <v>0.97151910927620677</v>
      </c>
      <c r="E26" s="48">
        <f t="shared" si="2"/>
        <v>-1.516865348075247E-2</v>
      </c>
      <c r="F26" s="48">
        <f t="shared" si="3"/>
        <v>-1.9704658883297375E-5</v>
      </c>
      <c r="G26" s="48">
        <f t="shared" si="4"/>
        <v>0.9866680580980759</v>
      </c>
      <c r="H26" s="30">
        <f t="shared" si="5"/>
        <v>0</v>
      </c>
    </row>
    <row r="27" spans="2:8" x14ac:dyDescent="0.25">
      <c r="B27" s="26">
        <v>24</v>
      </c>
      <c r="C27" s="52">
        <f t="shared" si="0"/>
        <v>3.1075268606800422E-3</v>
      </c>
      <c r="D27" s="52">
        <f t="shared" si="1"/>
        <v>1.6642059470906843E-3</v>
      </c>
      <c r="E27" s="48">
        <f t="shared" si="2"/>
        <v>-1.4433209135893579E-3</v>
      </c>
      <c r="F27" s="48">
        <f t="shared" si="3"/>
        <v>-1.8749288654721512E-6</v>
      </c>
      <c r="G27" s="48">
        <f t="shared" si="4"/>
        <v>3.10565193181457E-3</v>
      </c>
      <c r="H27" s="30">
        <f t="shared" si="5"/>
        <v>0</v>
      </c>
    </row>
    <row r="28" spans="2:8" x14ac:dyDescent="0.25">
      <c r="B28" s="26">
        <v>25</v>
      </c>
      <c r="C28" s="52">
        <f t="shared" si="0"/>
        <v>0.680943962179267</v>
      </c>
      <c r="D28" s="52">
        <f t="shared" si="1"/>
        <v>0.60410783726699213</v>
      </c>
      <c r="E28" s="48">
        <f t="shared" si="2"/>
        <v>-7.6836124912274872E-2</v>
      </c>
      <c r="F28" s="48">
        <f t="shared" si="3"/>
        <v>-9.9813054153551504E-5</v>
      </c>
      <c r="G28" s="48">
        <f t="shared" si="4"/>
        <v>0.68084414912511348</v>
      </c>
      <c r="H28" s="30">
        <f t="shared" si="5"/>
        <v>0</v>
      </c>
    </row>
    <row r="29" spans="2:8" x14ac:dyDescent="0.25">
      <c r="B29" s="26">
        <v>26</v>
      </c>
      <c r="C29" s="52">
        <f t="shared" si="0"/>
        <v>6.3586835670058186E-3</v>
      </c>
      <c r="D29" s="52">
        <f t="shared" si="1"/>
        <v>5.7283366829020497E-3</v>
      </c>
      <c r="E29" s="48">
        <f t="shared" si="2"/>
        <v>-6.3034688410376887E-4</v>
      </c>
      <c r="F29" s="48">
        <f t="shared" si="3"/>
        <v>-8.1884462224513777E-7</v>
      </c>
      <c r="G29" s="48">
        <f t="shared" si="4"/>
        <v>6.3578647223835735E-3</v>
      </c>
      <c r="H29" s="30">
        <f t="shared" si="5"/>
        <v>0</v>
      </c>
    </row>
    <row r="30" spans="2:8" x14ac:dyDescent="0.25">
      <c r="B30" s="26">
        <v>27</v>
      </c>
      <c r="C30" s="52">
        <f t="shared" si="0"/>
        <v>0.15760505021576746</v>
      </c>
      <c r="D30" s="52">
        <f t="shared" si="1"/>
        <v>9.9377043514666238E-2</v>
      </c>
      <c r="E30" s="48">
        <f t="shared" si="2"/>
        <v>-5.8228006701101218E-2</v>
      </c>
      <c r="F30" s="48">
        <f t="shared" si="3"/>
        <v>-7.5640399522307247E-5</v>
      </c>
      <c r="G30" s="48">
        <f t="shared" si="4"/>
        <v>0.15752940981624514</v>
      </c>
      <c r="H30" s="30">
        <f t="shared" si="5"/>
        <v>0</v>
      </c>
    </row>
    <row r="31" spans="2:8" x14ac:dyDescent="0.25">
      <c r="B31" s="26">
        <v>28</v>
      </c>
      <c r="C31" s="52">
        <f t="shared" si="0"/>
        <v>3.3090135809581808E-3</v>
      </c>
      <c r="D31" s="52">
        <f t="shared" si="1"/>
        <v>8.4429509332862738E-4</v>
      </c>
      <c r="E31" s="48">
        <f t="shared" si="2"/>
        <v>-2.4647184876295533E-3</v>
      </c>
      <c r="F31" s="48">
        <f t="shared" si="3"/>
        <v>-3.201763235195727E-6</v>
      </c>
      <c r="G31" s="48">
        <f t="shared" si="4"/>
        <v>3.3058118177229853E-3</v>
      </c>
      <c r="H31" s="30">
        <f t="shared" si="5"/>
        <v>0</v>
      </c>
    </row>
    <row r="32" spans="2:8" x14ac:dyDescent="0.25">
      <c r="B32" s="26">
        <v>29</v>
      </c>
      <c r="C32" s="52">
        <f t="shared" si="0"/>
        <v>0.72478506133268517</v>
      </c>
      <c r="D32" s="52">
        <f t="shared" si="1"/>
        <v>0.61840577400138186</v>
      </c>
      <c r="E32" s="48">
        <f t="shared" si="2"/>
        <v>-0.10637928733130331</v>
      </c>
      <c r="F32" s="48">
        <f t="shared" si="3"/>
        <v>-1.3819074789805439E-4</v>
      </c>
      <c r="G32" s="48">
        <f t="shared" si="4"/>
        <v>0.72464687058478716</v>
      </c>
      <c r="H32" s="30">
        <f t="shared" si="5"/>
        <v>0</v>
      </c>
    </row>
    <row r="33" spans="2:8" x14ac:dyDescent="0.25">
      <c r="B33" s="26">
        <v>30</v>
      </c>
      <c r="C33" s="52">
        <f t="shared" si="0"/>
        <v>2.8717553777810353E-3</v>
      </c>
      <c r="D33" s="52">
        <f t="shared" si="1"/>
        <v>2.6821760992090326E-3</v>
      </c>
      <c r="E33" s="48">
        <f t="shared" si="2"/>
        <v>-1.8957927857200275E-4</v>
      </c>
      <c r="F33" s="48">
        <f t="shared" si="3"/>
        <v>-2.4627070691165993E-7</v>
      </c>
      <c r="G33" s="48">
        <f t="shared" si="4"/>
        <v>2.8715091070741238E-3</v>
      </c>
      <c r="H33" s="30">
        <f t="shared" si="5"/>
        <v>0</v>
      </c>
    </row>
    <row r="34" spans="2:8" x14ac:dyDescent="0.25">
      <c r="B34" s="26">
        <v>31</v>
      </c>
      <c r="C34" s="52">
        <f t="shared" si="0"/>
        <v>0.43056874893088998</v>
      </c>
      <c r="D34" s="52">
        <f t="shared" si="1"/>
        <v>0.43268010175951643</v>
      </c>
      <c r="E34" s="48">
        <f t="shared" si="2"/>
        <v>2.111352828626456E-3</v>
      </c>
      <c r="F34" s="48">
        <f t="shared" si="3"/>
        <v>2.7427277789132749E-6</v>
      </c>
      <c r="G34" s="48">
        <f t="shared" si="4"/>
        <v>0.43057149165866887</v>
      </c>
      <c r="H34" s="30">
        <f t="shared" si="5"/>
        <v>0</v>
      </c>
    </row>
    <row r="35" spans="2:8" x14ac:dyDescent="0.25">
      <c r="B35" s="26">
        <v>32</v>
      </c>
      <c r="C35" s="52">
        <f t="shared" si="0"/>
        <v>5.9187663071225798E-3</v>
      </c>
      <c r="D35" s="52">
        <f t="shared" si="1"/>
        <v>4.587462629749072E-3</v>
      </c>
      <c r="E35" s="48">
        <f t="shared" si="2"/>
        <v>-1.3313036773735078E-3</v>
      </c>
      <c r="F35" s="48">
        <f t="shared" si="3"/>
        <v>-1.7294142071352151E-6</v>
      </c>
      <c r="G35" s="48">
        <f t="shared" si="4"/>
        <v>5.9170368929154444E-3</v>
      </c>
      <c r="H35" s="30">
        <f t="shared" si="5"/>
        <v>0</v>
      </c>
    </row>
    <row r="36" spans="2:8" x14ac:dyDescent="0.25">
      <c r="B36" s="26">
        <v>33</v>
      </c>
      <c r="C36" s="52">
        <f t="shared" si="0"/>
        <v>0.11558930646976719</v>
      </c>
      <c r="D36" s="52">
        <f t="shared" si="1"/>
        <v>8.4151409301761251E-2</v>
      </c>
      <c r="E36" s="48">
        <f t="shared" si="2"/>
        <v>-3.1437897168005935E-2</v>
      </c>
      <c r="F36" s="48">
        <f t="shared" si="3"/>
        <v>-4.0839026383573725E-5</v>
      </c>
      <c r="G36" s="48">
        <f t="shared" si="4"/>
        <v>0.11554846744338361</v>
      </c>
      <c r="H36" s="30">
        <f t="shared" si="5"/>
        <v>0</v>
      </c>
    </row>
    <row r="37" spans="2:8" x14ac:dyDescent="0.25">
      <c r="B37" s="26">
        <v>34</v>
      </c>
      <c r="C37" s="52">
        <f t="shared" si="0"/>
        <v>8.7921961526698345E-2</v>
      </c>
      <c r="D37" s="52">
        <f t="shared" si="1"/>
        <v>5.8256465500538285E-2</v>
      </c>
      <c r="E37" s="48">
        <f t="shared" si="2"/>
        <v>-2.966549602616006E-2</v>
      </c>
      <c r="F37" s="48">
        <f t="shared" si="3"/>
        <v>-3.8536609761771693E-5</v>
      </c>
      <c r="G37" s="48">
        <f t="shared" si="4"/>
        <v>8.788342491693657E-2</v>
      </c>
      <c r="H37" s="30">
        <f t="shared" si="5"/>
        <v>0</v>
      </c>
    </row>
    <row r="38" spans="2:8" x14ac:dyDescent="0.25">
      <c r="B38" s="26">
        <v>35</v>
      </c>
      <c r="C38" s="52">
        <f t="shared" si="0"/>
        <v>0.48796466250698262</v>
      </c>
      <c r="D38" s="52">
        <f t="shared" si="1"/>
        <v>0.39029335703643686</v>
      </c>
      <c r="E38" s="48">
        <f t="shared" si="2"/>
        <v>-9.7671305470545755E-2</v>
      </c>
      <c r="F38" s="48">
        <f t="shared" si="3"/>
        <v>-1.2687874763739205E-4</v>
      </c>
      <c r="G38" s="48">
        <f t="shared" si="4"/>
        <v>0.48783778375934522</v>
      </c>
      <c r="H38" s="30">
        <f t="shared" si="5"/>
        <v>0</v>
      </c>
    </row>
    <row r="39" spans="2:8" x14ac:dyDescent="0.25">
      <c r="B39" s="26">
        <v>36</v>
      </c>
      <c r="C39" s="52">
        <f t="shared" si="0"/>
        <v>8.7921961526698345E-2</v>
      </c>
      <c r="D39" s="52">
        <f t="shared" si="1"/>
        <v>5.8256465500538285E-2</v>
      </c>
      <c r="E39" s="48">
        <f t="shared" si="2"/>
        <v>-2.966549602616006E-2</v>
      </c>
      <c r="F39" s="48">
        <f t="shared" si="3"/>
        <v>-3.8536609761771693E-5</v>
      </c>
      <c r="G39" s="48">
        <f t="shared" si="4"/>
        <v>8.788342491693657E-2</v>
      </c>
      <c r="H39" s="30">
        <f t="shared" si="5"/>
        <v>0</v>
      </c>
    </row>
    <row r="40" spans="2:8" x14ac:dyDescent="0.25">
      <c r="B40" s="26">
        <v>37</v>
      </c>
      <c r="C40" s="52">
        <f t="shared" si="0"/>
        <v>0.31458122808120276</v>
      </c>
      <c r="D40" s="52">
        <f t="shared" si="1"/>
        <v>0.26038899134139826</v>
      </c>
      <c r="E40" s="48">
        <f t="shared" si="2"/>
        <v>-5.41922367398045E-2</v>
      </c>
      <c r="F40" s="48">
        <f t="shared" si="3"/>
        <v>-7.0397780556838915E-5</v>
      </c>
      <c r="G40" s="48">
        <f t="shared" si="4"/>
        <v>0.31451083030064592</v>
      </c>
      <c r="H40" s="30">
        <f t="shared" si="5"/>
        <v>0</v>
      </c>
    </row>
    <row r="41" spans="2:8" x14ac:dyDescent="0.25">
      <c r="B41" s="26">
        <v>38</v>
      </c>
      <c r="C41" s="52">
        <f t="shared" si="0"/>
        <v>8.7921961526698345E-2</v>
      </c>
      <c r="D41" s="52">
        <f t="shared" si="1"/>
        <v>5.8256465500538285E-2</v>
      </c>
      <c r="E41" s="48">
        <f t="shared" si="2"/>
        <v>-2.966549602616006E-2</v>
      </c>
      <c r="F41" s="48">
        <f t="shared" si="3"/>
        <v>-3.8536609761771693E-5</v>
      </c>
      <c r="G41" s="48">
        <f t="shared" si="4"/>
        <v>8.788342491693657E-2</v>
      </c>
      <c r="H41" s="30">
        <f t="shared" si="5"/>
        <v>0</v>
      </c>
    </row>
    <row r="42" spans="2:8" x14ac:dyDescent="0.25">
      <c r="B42" s="26">
        <v>39</v>
      </c>
      <c r="C42" s="52">
        <f t="shared" si="0"/>
        <v>9.8387203409769475E-2</v>
      </c>
      <c r="D42" s="52">
        <f t="shared" si="1"/>
        <v>7.1958024598108364E-2</v>
      </c>
      <c r="E42" s="48">
        <f t="shared" si="2"/>
        <v>-2.6429178811661111E-2</v>
      </c>
      <c r="F42" s="48">
        <f t="shared" si="3"/>
        <v>-3.4332510378081278E-5</v>
      </c>
      <c r="G42" s="48">
        <f t="shared" si="4"/>
        <v>9.835287089939139E-2</v>
      </c>
      <c r="H42" s="30">
        <f t="shared" si="5"/>
        <v>0</v>
      </c>
    </row>
    <row r="43" spans="2:8" x14ac:dyDescent="0.25">
      <c r="B43" s="26">
        <v>40</v>
      </c>
      <c r="C43" s="52">
        <f t="shared" si="0"/>
        <v>8.7921961526698345E-2</v>
      </c>
      <c r="D43" s="52">
        <f t="shared" si="1"/>
        <v>5.8256465500538285E-2</v>
      </c>
      <c r="E43" s="48">
        <f t="shared" si="2"/>
        <v>-2.966549602616006E-2</v>
      </c>
      <c r="F43" s="48">
        <f t="shared" si="3"/>
        <v>-3.8536609761771693E-5</v>
      </c>
      <c r="G43" s="48">
        <f t="shared" si="4"/>
        <v>8.788342491693657E-2</v>
      </c>
      <c r="H43" s="30">
        <f t="shared" si="5"/>
        <v>0</v>
      </c>
    </row>
    <row r="44" spans="2:8" x14ac:dyDescent="0.25">
      <c r="B44" s="26">
        <v>41</v>
      </c>
      <c r="C44" s="52">
        <f t="shared" si="0"/>
        <v>0.32440122806902955</v>
      </c>
      <c r="D44" s="52">
        <f t="shared" si="1"/>
        <v>0.30529874652047795</v>
      </c>
      <c r="E44" s="48">
        <f t="shared" si="2"/>
        <v>-1.9102481548551598E-2</v>
      </c>
      <c r="F44" s="48">
        <f t="shared" si="3"/>
        <v>-2.4814851444547537E-5</v>
      </c>
      <c r="G44" s="48">
        <f t="shared" si="4"/>
        <v>0.32437641321758498</v>
      </c>
      <c r="H44" s="30">
        <f t="shared" si="5"/>
        <v>0</v>
      </c>
    </row>
    <row r="45" spans="2:8" x14ac:dyDescent="0.25">
      <c r="B45" s="26">
        <v>42</v>
      </c>
      <c r="C45" s="52">
        <f t="shared" si="0"/>
        <v>8.7921961526698345E-2</v>
      </c>
      <c r="D45" s="52">
        <f t="shared" si="1"/>
        <v>5.8256465500538285E-2</v>
      </c>
      <c r="E45" s="48">
        <f t="shared" si="2"/>
        <v>-2.966549602616006E-2</v>
      </c>
      <c r="F45" s="48">
        <f t="shared" si="3"/>
        <v>-3.8536609761771693E-5</v>
      </c>
      <c r="G45" s="48">
        <f t="shared" si="4"/>
        <v>8.788342491693657E-2</v>
      </c>
      <c r="H45" s="30">
        <f t="shared" si="5"/>
        <v>0</v>
      </c>
    </row>
    <row r="46" spans="2:8" x14ac:dyDescent="0.25">
      <c r="B46" s="26">
        <v>43</v>
      </c>
      <c r="C46" s="52">
        <f t="shared" si="0"/>
        <v>0.19779080449305989</v>
      </c>
      <c r="D46" s="52">
        <f t="shared" si="1"/>
        <v>0.1877023014843526</v>
      </c>
      <c r="E46" s="48">
        <f t="shared" si="2"/>
        <v>-1.0088503008707284E-2</v>
      </c>
      <c r="F46" s="48">
        <f t="shared" si="3"/>
        <v>-1.3105349837541078E-5</v>
      </c>
      <c r="G46" s="48">
        <f t="shared" si="4"/>
        <v>0.19777769914322235</v>
      </c>
      <c r="H46" s="30">
        <f t="shared" si="5"/>
        <v>0</v>
      </c>
    </row>
    <row r="47" spans="2:8" x14ac:dyDescent="0.25">
      <c r="B47" s="26">
        <v>44</v>
      </c>
      <c r="C47" s="52">
        <f t="shared" si="0"/>
        <v>8.7921961526698345E-2</v>
      </c>
      <c r="D47" s="52">
        <f t="shared" si="1"/>
        <v>5.8256465500538285E-2</v>
      </c>
      <c r="E47" s="48">
        <f t="shared" si="2"/>
        <v>-2.966549602616006E-2</v>
      </c>
      <c r="F47" s="48">
        <f t="shared" si="3"/>
        <v>-3.8536609761771693E-5</v>
      </c>
      <c r="G47" s="48">
        <f t="shared" si="4"/>
        <v>8.788342491693657E-2</v>
      </c>
      <c r="H47" s="30">
        <f t="shared" si="5"/>
        <v>0</v>
      </c>
    </row>
    <row r="48" spans="2:8" x14ac:dyDescent="0.25">
      <c r="B48" s="26">
        <v>45</v>
      </c>
      <c r="C48" s="52">
        <f t="shared" si="0"/>
        <v>8.7932880027034033E-2</v>
      </c>
      <c r="D48" s="52">
        <f t="shared" si="1"/>
        <v>5.8261619608528936E-2</v>
      </c>
      <c r="E48" s="48">
        <f t="shared" si="2"/>
        <v>-2.9671260418505097E-2</v>
      </c>
      <c r="F48" s="48">
        <f t="shared" si="3"/>
        <v>-3.8544097927083965E-5</v>
      </c>
      <c r="G48" s="48">
        <f t="shared" si="4"/>
        <v>8.7894335929106948E-2</v>
      </c>
      <c r="H48" s="30">
        <f t="shared" si="5"/>
        <v>0</v>
      </c>
    </row>
    <row r="49" spans="1:21" x14ac:dyDescent="0.25">
      <c r="B49" s="26">
        <v>46</v>
      </c>
      <c r="C49" s="52">
        <f t="shared" si="0"/>
        <v>8.7921961526698345E-2</v>
      </c>
      <c r="D49" s="52">
        <f t="shared" si="1"/>
        <v>5.8256465500538285E-2</v>
      </c>
      <c r="E49" s="48">
        <f t="shared" si="2"/>
        <v>-2.966549602616006E-2</v>
      </c>
      <c r="F49" s="48">
        <f t="shared" si="3"/>
        <v>-3.8536609761771693E-5</v>
      </c>
      <c r="G49" s="48">
        <f t="shared" si="4"/>
        <v>8.788342491693657E-2</v>
      </c>
      <c r="H49" s="30">
        <f t="shared" si="5"/>
        <v>0</v>
      </c>
    </row>
    <row r="50" spans="1:21" x14ac:dyDescent="0.25">
      <c r="B50" s="26">
        <v>47</v>
      </c>
      <c r="C50" s="52">
        <f t="shared" si="0"/>
        <v>0.26064585390490097</v>
      </c>
      <c r="D50" s="52">
        <f t="shared" si="1"/>
        <v>0.2367936036530196</v>
      </c>
      <c r="E50" s="48">
        <f t="shared" si="2"/>
        <v>-2.3852250251881368E-2</v>
      </c>
      <c r="F50" s="48">
        <f t="shared" si="3"/>
        <v>-3.0984981983321765E-5</v>
      </c>
      <c r="G50" s="48">
        <f t="shared" si="4"/>
        <v>0.26061486892291763</v>
      </c>
      <c r="H50" s="30">
        <f t="shared" si="5"/>
        <v>0</v>
      </c>
    </row>
    <row r="51" spans="1:21" x14ac:dyDescent="0.25">
      <c r="B51" s="26">
        <v>48</v>
      </c>
      <c r="C51" s="52">
        <f t="shared" si="0"/>
        <v>8.7921961526698345E-2</v>
      </c>
      <c r="D51" s="52">
        <f t="shared" si="1"/>
        <v>5.8256465500538285E-2</v>
      </c>
      <c r="E51" s="48">
        <f t="shared" si="2"/>
        <v>-2.966549602616006E-2</v>
      </c>
      <c r="F51" s="48">
        <f t="shared" si="3"/>
        <v>-3.8536609761771693E-5</v>
      </c>
      <c r="G51" s="48">
        <f t="shared" si="4"/>
        <v>8.788342491693657E-2</v>
      </c>
      <c r="H51" s="30">
        <f t="shared" si="5"/>
        <v>0</v>
      </c>
    </row>
    <row r="52" spans="1:21" x14ac:dyDescent="0.25">
      <c r="B52" s="26">
        <v>49</v>
      </c>
      <c r="C52" s="52">
        <f t="shared" si="0"/>
        <v>0.14568078669873447</v>
      </c>
      <c r="D52" s="52">
        <f t="shared" si="1"/>
        <v>0.14316623416465049</v>
      </c>
      <c r="E52" s="48">
        <f t="shared" si="2"/>
        <v>-2.5145525340839747E-3</v>
      </c>
      <c r="F52" s="48">
        <f t="shared" si="3"/>
        <v>-3.2664995605000646E-6</v>
      </c>
      <c r="G52" s="48">
        <f t="shared" si="4"/>
        <v>0.14567752019917396</v>
      </c>
      <c r="H52" s="30">
        <f t="shared" si="5"/>
        <v>0</v>
      </c>
    </row>
    <row r="53" spans="1:21" x14ac:dyDescent="0.25">
      <c r="B53" s="26">
        <v>50</v>
      </c>
      <c r="C53" s="52">
        <f t="shared" si="0"/>
        <v>8.7921961526698345E-2</v>
      </c>
      <c r="D53" s="52">
        <f t="shared" si="1"/>
        <v>5.8256465500538285E-2</v>
      </c>
      <c r="E53" s="48">
        <f t="shared" si="2"/>
        <v>-2.966549602616006E-2</v>
      </c>
      <c r="F53" s="48">
        <f t="shared" si="3"/>
        <v>-3.8536609761771693E-5</v>
      </c>
      <c r="G53" s="48">
        <f t="shared" si="4"/>
        <v>8.788342491693657E-2</v>
      </c>
      <c r="H53" s="30">
        <f t="shared" si="5"/>
        <v>0</v>
      </c>
    </row>
    <row r="54" spans="1:21" x14ac:dyDescent="0.25">
      <c r="E54" s="32"/>
      <c r="F54" s="32"/>
    </row>
    <row r="55" spans="1:21" x14ac:dyDescent="0.25">
      <c r="F55" s="26" t="s">
        <v>85</v>
      </c>
      <c r="G55" s="29">
        <f>IF(H4=0,0,100*H55/H4)</f>
        <v>0</v>
      </c>
      <c r="H55" s="29">
        <f>SQRT(SUMSQ(H5:H53))</f>
        <v>0</v>
      </c>
      <c r="I55" s="26" t="s">
        <v>52</v>
      </c>
    </row>
    <row r="56" spans="1:21" x14ac:dyDescent="0.25">
      <c r="F56" s="26" t="s">
        <v>86</v>
      </c>
      <c r="G56" s="29">
        <f>SQRT(SUMSQ(G4:G53))</f>
        <v>104.85405205896129</v>
      </c>
      <c r="H56" s="29">
        <f>SQRT(SUMSQ(H4:H53))</f>
        <v>0</v>
      </c>
      <c r="I56" s="26" t="s">
        <v>54</v>
      </c>
    </row>
    <row r="57" spans="1:21" x14ac:dyDescent="0.25">
      <c r="G57" s="26" t="s">
        <v>87</v>
      </c>
      <c r="H57" s="26" t="s">
        <v>13</v>
      </c>
    </row>
    <row r="59" spans="1:21" x14ac:dyDescent="0.25">
      <c r="A59" s="25" t="s">
        <v>63</v>
      </c>
      <c r="C59" s="36"/>
      <c r="D59" s="36"/>
      <c r="E59" s="36"/>
      <c r="F59" s="36"/>
      <c r="G59" s="36"/>
      <c r="H59" s="36"/>
      <c r="I59" s="36"/>
      <c r="J59" s="36"/>
      <c r="K59" s="36"/>
      <c r="L59" s="36"/>
      <c r="M59" s="36"/>
      <c r="N59" s="36"/>
      <c r="O59" s="36"/>
      <c r="P59" s="36"/>
      <c r="Q59" s="36"/>
      <c r="R59" s="36"/>
      <c r="S59" s="36"/>
    </row>
    <row r="60" spans="1:21" ht="14.4" x14ac:dyDescent="0.3">
      <c r="C60" s="1" t="s">
        <v>478</v>
      </c>
      <c r="D60" s="7">
        <f>100/D62</f>
        <v>1000</v>
      </c>
      <c r="E60" s="7">
        <f t="shared" ref="E60:U60" si="6">100/E62</f>
        <v>200</v>
      </c>
      <c r="F60" s="7">
        <f t="shared" si="6"/>
        <v>100</v>
      </c>
      <c r="G60" s="7">
        <f t="shared" si="6"/>
        <v>50</v>
      </c>
      <c r="H60" s="7">
        <f t="shared" si="6"/>
        <v>33.333333333333336</v>
      </c>
      <c r="I60" s="7">
        <f t="shared" si="6"/>
        <v>25</v>
      </c>
      <c r="J60" s="7">
        <f t="shared" si="6"/>
        <v>20</v>
      </c>
      <c r="K60" s="7">
        <f t="shared" si="6"/>
        <v>16.666666666666668</v>
      </c>
      <c r="L60" s="7">
        <f t="shared" si="6"/>
        <v>14.285714285714286</v>
      </c>
      <c r="M60" s="7">
        <f t="shared" si="6"/>
        <v>12.5</v>
      </c>
      <c r="N60" s="7">
        <f t="shared" si="6"/>
        <v>10</v>
      </c>
      <c r="O60" s="7">
        <f t="shared" si="6"/>
        <v>8.3333333333333339</v>
      </c>
      <c r="P60" s="7">
        <f t="shared" si="6"/>
        <v>7.1428571428571432</v>
      </c>
      <c r="Q60" s="7">
        <f t="shared" si="6"/>
        <v>5.5555555555555554</v>
      </c>
      <c r="R60" s="7">
        <f t="shared" si="6"/>
        <v>4.7619047619047619</v>
      </c>
      <c r="S60" s="7">
        <f t="shared" si="6"/>
        <v>1</v>
      </c>
      <c r="T60" s="7">
        <f t="shared" si="6"/>
        <v>0.1</v>
      </c>
      <c r="U60" s="7">
        <f t="shared" si="6"/>
        <v>0.01</v>
      </c>
    </row>
    <row r="61" spans="1:21" ht="14.4" x14ac:dyDescent="0.3">
      <c r="C61" s="1" t="s">
        <v>64</v>
      </c>
      <c r="D61">
        <v>0</v>
      </c>
      <c r="E61">
        <v>1</v>
      </c>
      <c r="F61">
        <v>2</v>
      </c>
      <c r="G61">
        <v>3</v>
      </c>
      <c r="H61">
        <v>4</v>
      </c>
      <c r="I61">
        <v>5</v>
      </c>
      <c r="J61">
        <v>6</v>
      </c>
      <c r="K61">
        <v>7</v>
      </c>
      <c r="L61">
        <v>8</v>
      </c>
      <c r="M61">
        <v>9</v>
      </c>
      <c r="N61">
        <v>10</v>
      </c>
      <c r="O61">
        <v>11</v>
      </c>
      <c r="P61">
        <v>12</v>
      </c>
      <c r="Q61">
        <v>13</v>
      </c>
      <c r="R61">
        <v>14</v>
      </c>
      <c r="S61">
        <v>15</v>
      </c>
      <c r="T61">
        <v>16</v>
      </c>
      <c r="U61">
        <v>17</v>
      </c>
    </row>
    <row r="62" spans="1:21" ht="14.4" x14ac:dyDescent="0.3">
      <c r="A62" s="26" t="s">
        <v>65</v>
      </c>
      <c r="B62" s="54"/>
      <c r="C62" s="216" t="s">
        <v>1</v>
      </c>
      <c r="D62" s="296">
        <v>0.1</v>
      </c>
      <c r="E62" s="296">
        <v>0.5</v>
      </c>
      <c r="F62" s="296">
        <v>1</v>
      </c>
      <c r="G62" s="296">
        <v>2</v>
      </c>
      <c r="H62" s="296">
        <v>3</v>
      </c>
      <c r="I62" s="296">
        <v>4</v>
      </c>
      <c r="J62" s="296">
        <v>5</v>
      </c>
      <c r="K62" s="296">
        <v>6</v>
      </c>
      <c r="L62" s="296">
        <v>7</v>
      </c>
      <c r="M62" s="296">
        <v>8</v>
      </c>
      <c r="N62" s="296">
        <v>10</v>
      </c>
      <c r="O62" s="296">
        <v>12</v>
      </c>
      <c r="P62" s="296">
        <v>14</v>
      </c>
      <c r="Q62" s="296">
        <v>18</v>
      </c>
      <c r="R62" s="296">
        <v>21</v>
      </c>
      <c r="S62" s="296">
        <v>100</v>
      </c>
      <c r="T62" s="296">
        <v>1000</v>
      </c>
      <c r="U62" s="296">
        <v>10000</v>
      </c>
    </row>
    <row r="63" spans="1:21" ht="14.4" x14ac:dyDescent="0.3">
      <c r="A63" s="31"/>
      <c r="C63" s="1" t="s">
        <v>64</v>
      </c>
      <c r="D63">
        <v>0</v>
      </c>
      <c r="E63">
        <v>1</v>
      </c>
      <c r="F63">
        <v>2</v>
      </c>
      <c r="G63">
        <v>3</v>
      </c>
      <c r="H63">
        <v>4</v>
      </c>
      <c r="I63">
        <v>5</v>
      </c>
      <c r="J63">
        <v>6</v>
      </c>
      <c r="K63">
        <v>7</v>
      </c>
      <c r="L63">
        <v>8</v>
      </c>
      <c r="M63">
        <v>9</v>
      </c>
      <c r="N63">
        <v>10</v>
      </c>
      <c r="O63">
        <v>11</v>
      </c>
      <c r="P63">
        <v>12</v>
      </c>
      <c r="Q63">
        <v>13</v>
      </c>
      <c r="R63">
        <v>14</v>
      </c>
      <c r="S63">
        <v>15</v>
      </c>
      <c r="T63">
        <v>16</v>
      </c>
      <c r="U63">
        <v>17</v>
      </c>
    </row>
    <row r="64" spans="1:21" ht="14.4" x14ac:dyDescent="0.3">
      <c r="A64" s="43">
        <v>2</v>
      </c>
      <c r="B64" s="43"/>
      <c r="C64" s="1"/>
      <c r="D64" s="298">
        <v>1.7291324964220301E-2</v>
      </c>
      <c r="E64" s="298">
        <v>6.6998018440489568E-2</v>
      </c>
      <c r="F64" s="298">
        <v>0.12416560747379798</v>
      </c>
      <c r="G64" s="298">
        <v>0.19164678959143519</v>
      </c>
      <c r="H64" s="298">
        <v>3.2432337711389723E-2</v>
      </c>
      <c r="I64" s="298">
        <v>2.6794917304969575E-2</v>
      </c>
      <c r="J64" s="298">
        <v>1.0787351058726545E-2</v>
      </c>
      <c r="K64" s="298">
        <v>1.5488830696511377E-2</v>
      </c>
      <c r="L64" s="298">
        <v>1.1120918013740941E-2</v>
      </c>
      <c r="M64" s="298">
        <v>1.2571907703050382E-2</v>
      </c>
      <c r="N64" s="298">
        <v>2.636287592484499E-2</v>
      </c>
      <c r="O64" s="298">
        <v>3.9068771982494086E-3</v>
      </c>
      <c r="P64" s="298">
        <v>1.783236037225493E-2</v>
      </c>
      <c r="Q64" s="298">
        <v>6.5715038062707058E-3</v>
      </c>
      <c r="R64" s="298">
        <v>5.7146036546192576E-3</v>
      </c>
      <c r="S64" s="298">
        <v>5.7146036546192576E-3</v>
      </c>
      <c r="T64" s="298">
        <v>5.7146036546192576E-3</v>
      </c>
      <c r="U64" s="298">
        <v>5.7146036546192576E-3</v>
      </c>
    </row>
    <row r="65" spans="1:21" ht="14.4" x14ac:dyDescent="0.3">
      <c r="A65" s="43">
        <v>3</v>
      </c>
      <c r="B65" s="43"/>
      <c r="C65" s="1"/>
      <c r="D65" s="298">
        <v>0.55385104430828935</v>
      </c>
      <c r="E65" s="298">
        <v>8.5473774716319078</v>
      </c>
      <c r="F65" s="298">
        <v>4.3857615521600959</v>
      </c>
      <c r="G65" s="298">
        <v>4.8916763402676038</v>
      </c>
      <c r="H65" s="298">
        <v>5.107248510230364</v>
      </c>
      <c r="I65" s="298">
        <v>6.2072885442798249</v>
      </c>
      <c r="J65" s="298">
        <v>7.7608557639223745</v>
      </c>
      <c r="K65" s="298">
        <v>5.1365577880102951</v>
      </c>
      <c r="L65" s="298">
        <v>3.7115343236794409</v>
      </c>
      <c r="M65" s="298">
        <v>2.8652501742303245</v>
      </c>
      <c r="N65" s="298">
        <v>1.976424393859703</v>
      </c>
      <c r="O65" s="298">
        <v>1.512989131711088</v>
      </c>
      <c r="P65" s="298">
        <v>1.2479844012146544</v>
      </c>
      <c r="Q65" s="298">
        <v>0.90186138282906037</v>
      </c>
      <c r="R65" s="298">
        <v>0.8611207071065603</v>
      </c>
      <c r="S65" s="298">
        <v>0.8611207071065603</v>
      </c>
      <c r="T65" s="298">
        <v>0.8611207071065603</v>
      </c>
      <c r="U65" s="298">
        <v>0.8611207071065603</v>
      </c>
    </row>
    <row r="66" spans="1:21" ht="14.4" x14ac:dyDescent="0.3">
      <c r="A66" s="43">
        <v>4</v>
      </c>
      <c r="B66" s="43"/>
      <c r="C66" s="1"/>
      <c r="D66" s="298">
        <v>0.13520250276733159</v>
      </c>
      <c r="E66" s="298">
        <v>2.8695360144102396E-2</v>
      </c>
      <c r="F66" s="298">
        <v>0.11237654569855723</v>
      </c>
      <c r="G66" s="298">
        <v>0.1270693443534559</v>
      </c>
      <c r="H66" s="298">
        <v>2.9673650735424224E-2</v>
      </c>
      <c r="I66" s="298">
        <v>2.1212221057019379E-2</v>
      </c>
      <c r="J66" s="298">
        <v>1.8916758051922035E-2</v>
      </c>
      <c r="K66" s="298">
        <v>2.4591818946340816E-2</v>
      </c>
      <c r="L66" s="298">
        <v>2.2309871990685983E-2</v>
      </c>
      <c r="M66" s="298">
        <v>1.4672119245636975E-2</v>
      </c>
      <c r="N66" s="298">
        <v>3.4977738354405041E-3</v>
      </c>
      <c r="O66" s="298">
        <v>3.318391374383355E-3</v>
      </c>
      <c r="P66" s="298">
        <v>1.8380050856337499E-2</v>
      </c>
      <c r="Q66" s="298">
        <v>5.7240454854559945E-3</v>
      </c>
      <c r="R66" s="298">
        <v>1.5847873572736098E-3</v>
      </c>
      <c r="S66" s="298">
        <v>1.5847873572736098E-3</v>
      </c>
      <c r="T66" s="298">
        <v>1.5847873572736098E-3</v>
      </c>
      <c r="U66" s="298">
        <v>1.5847873572736098E-3</v>
      </c>
    </row>
    <row r="67" spans="1:21" ht="14.4" x14ac:dyDescent="0.3">
      <c r="A67" s="43">
        <v>5</v>
      </c>
      <c r="B67" s="43"/>
      <c r="C67" s="1"/>
      <c r="D67" s="298">
        <v>93.368748010282204</v>
      </c>
      <c r="E67" s="298">
        <v>82.87682728374898</v>
      </c>
      <c r="F67" s="298">
        <v>73.247221838386295</v>
      </c>
      <c r="G67" s="298">
        <v>60.831459052554194</v>
      </c>
      <c r="H67" s="298">
        <v>49.382828970020235</v>
      </c>
      <c r="I67" s="298">
        <v>41.72752692184784</v>
      </c>
      <c r="J67" s="298">
        <v>37.27946499417164</v>
      </c>
      <c r="K67" s="298">
        <v>34.240442443062605</v>
      </c>
      <c r="L67" s="298">
        <v>31.801834469310585</v>
      </c>
      <c r="M67" s="298">
        <v>29.833911528390878</v>
      </c>
      <c r="N67" s="298">
        <v>26.829447444032468</v>
      </c>
      <c r="O67" s="298">
        <v>24.524377947577921</v>
      </c>
      <c r="P67" s="298">
        <v>22.666145948519805</v>
      </c>
      <c r="Q67" s="298">
        <v>19.683481307529799</v>
      </c>
      <c r="R67" s="298">
        <v>19.55420880107971</v>
      </c>
      <c r="S67" s="298">
        <v>19.55420880107971</v>
      </c>
      <c r="T67" s="298">
        <v>19.55420880107971</v>
      </c>
      <c r="U67" s="298">
        <v>19.55420880107971</v>
      </c>
    </row>
    <row r="68" spans="1:21" ht="14.4" x14ac:dyDescent="0.3">
      <c r="A68" s="43">
        <v>6</v>
      </c>
      <c r="B68" s="43"/>
      <c r="C68" s="1"/>
      <c r="D68" s="298">
        <v>6.8818496078623531E-2</v>
      </c>
      <c r="E68" s="298">
        <v>5.2936191485114158E-2</v>
      </c>
      <c r="F68" s="298">
        <v>7.0102641631974985E-3</v>
      </c>
      <c r="G68" s="298">
        <v>1.1862351899176933E-2</v>
      </c>
      <c r="H68" s="298">
        <v>1.9222702695116914E-3</v>
      </c>
      <c r="I68" s="298">
        <v>1.1087146410300954E-2</v>
      </c>
      <c r="J68" s="298">
        <v>6.7285132893848583E-3</v>
      </c>
      <c r="K68" s="298">
        <v>4.5194792975590103E-3</v>
      </c>
      <c r="L68" s="298">
        <v>6.0169639857389576E-3</v>
      </c>
      <c r="M68" s="298">
        <v>7.3330327729595772E-3</v>
      </c>
      <c r="N68" s="298">
        <v>4.9368015428742544E-3</v>
      </c>
      <c r="O68" s="298">
        <v>2.1005572354824645E-3</v>
      </c>
      <c r="P68" s="298">
        <v>9.2816222816082712E-3</v>
      </c>
      <c r="Q68" s="298">
        <v>3.8021989595571734E-3</v>
      </c>
      <c r="R68" s="298">
        <v>2.6949365909897677E-3</v>
      </c>
      <c r="S68" s="298">
        <v>2.6949365909897677E-3</v>
      </c>
      <c r="T68" s="298">
        <v>2.6949365909897677E-3</v>
      </c>
      <c r="U68" s="298">
        <v>2.6949365909897677E-3</v>
      </c>
    </row>
    <row r="69" spans="1:21" ht="14.4" x14ac:dyDescent="0.3">
      <c r="A69" s="43">
        <v>7</v>
      </c>
      <c r="B69" s="43"/>
      <c r="C69" s="1"/>
      <c r="D69" s="298">
        <v>85.792929223620419</v>
      </c>
      <c r="E69" s="298">
        <v>65.67536665068971</v>
      </c>
      <c r="F69" s="298">
        <v>52.471101352240538</v>
      </c>
      <c r="G69" s="298">
        <v>34.473926081721721</v>
      </c>
      <c r="H69" s="298">
        <v>20.70483242585701</v>
      </c>
      <c r="I69" s="298">
        <v>13.8859457017344</v>
      </c>
      <c r="J69" s="298">
        <v>10.407370469722119</v>
      </c>
      <c r="K69" s="298">
        <v>8.4234250472584673</v>
      </c>
      <c r="L69" s="298">
        <v>7.3447486655802345</v>
      </c>
      <c r="M69" s="298">
        <v>6.8022663683683335</v>
      </c>
      <c r="N69" s="298">
        <v>6.5166708279323533</v>
      </c>
      <c r="O69" s="298">
        <v>6.6273860488121423</v>
      </c>
      <c r="P69" s="298">
        <v>6.8022403042729351</v>
      </c>
      <c r="Q69" s="298">
        <v>6.987229811341364</v>
      </c>
      <c r="R69" s="298">
        <v>7.326010337515557</v>
      </c>
      <c r="S69" s="298">
        <v>7.326010337515557</v>
      </c>
      <c r="T69" s="298">
        <v>7.326010337515557</v>
      </c>
      <c r="U69" s="298">
        <v>7.326010337515557</v>
      </c>
    </row>
    <row r="70" spans="1:21" ht="14.4" x14ac:dyDescent="0.3">
      <c r="A70" s="43">
        <v>8</v>
      </c>
      <c r="B70" s="43"/>
      <c r="C70" s="1"/>
      <c r="D70" s="298">
        <v>0.15207091572872264</v>
      </c>
      <c r="E70" s="298">
        <v>5.2891824469196221E-2</v>
      </c>
      <c r="F70" s="298">
        <v>5.7040082585237739E-2</v>
      </c>
      <c r="G70" s="298">
        <v>1.9116049168177565E-2</v>
      </c>
      <c r="H70" s="298">
        <v>2.3564987660073828E-2</v>
      </c>
      <c r="I70" s="298">
        <v>8.5355102461392024E-3</v>
      </c>
      <c r="J70" s="298">
        <v>1.9603945043945102E-2</v>
      </c>
      <c r="K70" s="298">
        <v>1.2636657164619786E-2</v>
      </c>
      <c r="L70" s="298">
        <v>1.0643351525778579E-2</v>
      </c>
      <c r="M70" s="298">
        <v>4.3473848598230228E-3</v>
      </c>
      <c r="N70" s="298">
        <v>2.5415807506222721E-3</v>
      </c>
      <c r="O70" s="298">
        <v>1.2216655309818655E-3</v>
      </c>
      <c r="P70" s="298">
        <v>6.4595461603830819E-3</v>
      </c>
      <c r="Q70" s="298">
        <v>1.3983813924981661E-3</v>
      </c>
      <c r="R70" s="298">
        <v>3.4056178014729927E-3</v>
      </c>
      <c r="S70" s="298">
        <v>3.4056178014729927E-3</v>
      </c>
      <c r="T70" s="298">
        <v>3.4056178014729927E-3</v>
      </c>
      <c r="U70" s="298">
        <v>3.4056178014729927E-3</v>
      </c>
    </row>
    <row r="71" spans="1:21" ht="14.4" x14ac:dyDescent="0.3">
      <c r="A71" s="43">
        <v>9</v>
      </c>
      <c r="B71" s="43"/>
      <c r="C71" s="1"/>
      <c r="D71" s="298">
        <v>1.154353524821659</v>
      </c>
      <c r="E71" s="298">
        <v>3.5914593530271834</v>
      </c>
      <c r="F71" s="298">
        <v>0.66156600737101889</v>
      </c>
      <c r="G71" s="298">
        <v>0.60368769264829547</v>
      </c>
      <c r="H71" s="298">
        <v>0.42447764331950832</v>
      </c>
      <c r="I71" s="298">
        <v>1.0648962156533353</v>
      </c>
      <c r="J71" s="298">
        <v>1.5532650518305111</v>
      </c>
      <c r="K71" s="298">
        <v>0.98716445545758624</v>
      </c>
      <c r="L71" s="298">
        <v>0.68104076968532634</v>
      </c>
      <c r="M71" s="298">
        <v>0.50610374236669098</v>
      </c>
      <c r="N71" s="298">
        <v>0.31868142208094846</v>
      </c>
      <c r="O71" s="298">
        <v>0.22626624756676589</v>
      </c>
      <c r="P71" s="298">
        <v>0.1789795622711387</v>
      </c>
      <c r="Q71" s="298">
        <v>0.13966052871548112</v>
      </c>
      <c r="R71" s="298">
        <v>0.13247290047204982</v>
      </c>
      <c r="S71" s="298">
        <v>0.13247290047204982</v>
      </c>
      <c r="T71" s="298">
        <v>0.13247290047204982</v>
      </c>
      <c r="U71" s="298">
        <v>0.13247290047204982</v>
      </c>
    </row>
    <row r="72" spans="1:21" ht="14.4" x14ac:dyDescent="0.3">
      <c r="A72" s="43">
        <v>10</v>
      </c>
      <c r="B72" s="43"/>
      <c r="C72" s="1"/>
      <c r="D72" s="298">
        <v>0.2294007148283545</v>
      </c>
      <c r="E72" s="298">
        <v>4.67408371331944E-2</v>
      </c>
      <c r="F72" s="298">
        <v>3.9171017790739594E-2</v>
      </c>
      <c r="G72" s="298">
        <v>3.1896110289054799E-2</v>
      </c>
      <c r="H72" s="298">
        <v>9.7072760067846587E-3</v>
      </c>
      <c r="I72" s="298">
        <v>1.3760275349404955E-2</v>
      </c>
      <c r="J72" s="298">
        <v>1.2351163020258928E-2</v>
      </c>
      <c r="K72" s="298">
        <v>7.8770677291336265E-3</v>
      </c>
      <c r="L72" s="298">
        <v>6.6241460677741474E-3</v>
      </c>
      <c r="M72" s="298">
        <v>9.5446111698385379E-4</v>
      </c>
      <c r="N72" s="298">
        <v>5.9000829249238182E-3</v>
      </c>
      <c r="O72" s="298">
        <v>2.8410236973985879E-3</v>
      </c>
      <c r="P72" s="298">
        <v>3.0933034144878684E-3</v>
      </c>
      <c r="Q72" s="298">
        <v>1.7024651539385351E-3</v>
      </c>
      <c r="R72" s="298">
        <v>3.8405411483555876E-3</v>
      </c>
      <c r="S72" s="298">
        <v>3.8405411483555876E-3</v>
      </c>
      <c r="T72" s="298">
        <v>3.8405411483555876E-3</v>
      </c>
      <c r="U72" s="298">
        <v>3.8405411483555876E-3</v>
      </c>
    </row>
    <row r="73" spans="1:21" ht="14.4" x14ac:dyDescent="0.3">
      <c r="A73" s="43">
        <v>11</v>
      </c>
      <c r="B73" s="43"/>
      <c r="C73" s="1"/>
      <c r="D73" s="298">
        <v>69.048567707776243</v>
      </c>
      <c r="E73" s="298">
        <v>33.685348584817774</v>
      </c>
      <c r="F73" s="298">
        <v>15.583787301158949</v>
      </c>
      <c r="G73" s="298">
        <v>6.5636008603412694</v>
      </c>
      <c r="H73" s="298">
        <v>7.6797975872700235</v>
      </c>
      <c r="I73" s="298">
        <v>7.4570840283088478</v>
      </c>
      <c r="J73" s="298">
        <v>6.9055670232180777</v>
      </c>
      <c r="K73" s="298">
        <v>6.5341193000171698</v>
      </c>
      <c r="L73" s="298">
        <v>6.0786150094839924</v>
      </c>
      <c r="M73" s="298">
        <v>5.6151234987755405</v>
      </c>
      <c r="N73" s="298">
        <v>4.7731220793376856</v>
      </c>
      <c r="O73" s="298">
        <v>4.037747204995374</v>
      </c>
      <c r="P73" s="298">
        <v>3.4442053406397228</v>
      </c>
      <c r="Q73" s="298">
        <v>2.6571079286057731</v>
      </c>
      <c r="R73" s="298">
        <v>2.6319335627413896</v>
      </c>
      <c r="S73" s="298">
        <v>2.6319335627413896</v>
      </c>
      <c r="T73" s="298">
        <v>2.6319335627413896</v>
      </c>
      <c r="U73" s="298">
        <v>2.6319335627413896</v>
      </c>
    </row>
    <row r="74" spans="1:21" ht="14.4" x14ac:dyDescent="0.3">
      <c r="A74" s="43">
        <v>12</v>
      </c>
      <c r="B74" s="43"/>
      <c r="C74" s="1"/>
      <c r="D74" s="298">
        <v>4.3926126021925166E-2</v>
      </c>
      <c r="E74" s="298">
        <v>1.2877494467594758E-2</v>
      </c>
      <c r="F74" s="298">
        <v>4.5954157397374695E-3</v>
      </c>
      <c r="G74" s="298">
        <v>5.329225146697902E-3</v>
      </c>
      <c r="H74" s="298">
        <v>1.7455825337836627E-3</v>
      </c>
      <c r="I74" s="298">
        <v>6.1922252654432195E-3</v>
      </c>
      <c r="J74" s="298">
        <v>4.6340307760456886E-3</v>
      </c>
      <c r="K74" s="298">
        <v>1.2658928420938899E-3</v>
      </c>
      <c r="L74" s="298">
        <v>7.2345470714335765E-4</v>
      </c>
      <c r="M74" s="298">
        <v>2.8137542278655172E-3</v>
      </c>
      <c r="N74" s="298">
        <v>3.3387817150023614E-3</v>
      </c>
      <c r="O74" s="298">
        <v>7.0415228820549169E-4</v>
      </c>
      <c r="P74" s="298">
        <v>3.2866827675993235E-3</v>
      </c>
      <c r="Q74" s="298">
        <v>2.129932191298423E-3</v>
      </c>
      <c r="R74" s="298">
        <v>3.0726078205235829E-3</v>
      </c>
      <c r="S74" s="298">
        <v>3.0726078205235829E-3</v>
      </c>
      <c r="T74" s="298">
        <v>3.0726078205235829E-3</v>
      </c>
      <c r="U74" s="298">
        <v>3.0726078205235829E-3</v>
      </c>
    </row>
    <row r="75" spans="1:21" ht="14.4" x14ac:dyDescent="0.3">
      <c r="A75" s="43">
        <v>13</v>
      </c>
      <c r="B75" s="43"/>
      <c r="C75" s="1"/>
      <c r="D75" s="298">
        <v>57.626071680473594</v>
      </c>
      <c r="E75" s="298">
        <v>19.008833408591933</v>
      </c>
      <c r="F75" s="298">
        <v>6.0811074483745449</v>
      </c>
      <c r="G75" s="298">
        <v>6.4203508662030933</v>
      </c>
      <c r="H75" s="298">
        <v>4.053836065316168</v>
      </c>
      <c r="I75" s="298">
        <v>3.136813925533426</v>
      </c>
      <c r="J75" s="298">
        <v>3.2687886565984781</v>
      </c>
      <c r="K75" s="298">
        <v>3.1927019928471165</v>
      </c>
      <c r="L75" s="298">
        <v>3.1590323561450395</v>
      </c>
      <c r="M75" s="298">
        <v>3.1114405010378423</v>
      </c>
      <c r="N75" s="298">
        <v>2.9413990501469054</v>
      </c>
      <c r="O75" s="298">
        <v>2.6891381919916104</v>
      </c>
      <c r="P75" s="298">
        <v>2.4129113867682368</v>
      </c>
      <c r="Q75" s="298">
        <v>1.9019132140355048</v>
      </c>
      <c r="R75" s="298">
        <v>1.9731316672454773</v>
      </c>
      <c r="S75" s="298">
        <v>1.9731316672454773</v>
      </c>
      <c r="T75" s="298">
        <v>1.9731316672454773</v>
      </c>
      <c r="U75" s="298">
        <v>1.9731316672454773</v>
      </c>
    </row>
    <row r="76" spans="1:21" ht="14.4" x14ac:dyDescent="0.3">
      <c r="A76" s="43">
        <v>14</v>
      </c>
      <c r="B76" s="43"/>
      <c r="C76" s="1"/>
      <c r="D76" s="298">
        <v>0.20927403927484672</v>
      </c>
      <c r="E76" s="298">
        <v>5.5602611265487843E-2</v>
      </c>
      <c r="F76" s="298">
        <v>4.0150680983375708E-2</v>
      </c>
      <c r="G76" s="298">
        <v>1.1364022598705132E-2</v>
      </c>
      <c r="H76" s="298">
        <v>1.5808693433503308E-2</v>
      </c>
      <c r="I76" s="298">
        <v>1.1300571663228018E-2</v>
      </c>
      <c r="J76" s="298">
        <v>1.3986444352451872E-2</v>
      </c>
      <c r="K76" s="298">
        <v>1.3726550136797936E-2</v>
      </c>
      <c r="L76" s="298">
        <v>1.2922710779955417E-2</v>
      </c>
      <c r="M76" s="298">
        <v>6.7573395777536377E-3</v>
      </c>
      <c r="N76" s="298">
        <v>6.0541163970223889E-3</v>
      </c>
      <c r="O76" s="298">
        <v>8.8566143641728831E-4</v>
      </c>
      <c r="P76" s="298">
        <v>4.5856434142929501E-3</v>
      </c>
      <c r="Q76" s="298">
        <v>2.3769049086772155E-3</v>
      </c>
      <c r="R76" s="298">
        <v>2.1687917940923906E-3</v>
      </c>
      <c r="S76" s="298">
        <v>2.1687917940923906E-3</v>
      </c>
      <c r="T76" s="298">
        <v>2.1687917940923906E-3</v>
      </c>
      <c r="U76" s="298">
        <v>2.1687917940923906E-3</v>
      </c>
    </row>
    <row r="77" spans="1:21" ht="14.4" x14ac:dyDescent="0.3">
      <c r="A77" s="43">
        <v>15</v>
      </c>
      <c r="B77" s="43"/>
      <c r="C77" s="1"/>
      <c r="D77" s="298">
        <v>1.136851568371505</v>
      </c>
      <c r="E77" s="298">
        <v>0.23095610968918576</v>
      </c>
      <c r="F77" s="298">
        <v>0.45935010470309795</v>
      </c>
      <c r="G77" s="298">
        <v>0.33979479464125767</v>
      </c>
      <c r="H77" s="298">
        <v>0.19877874639876153</v>
      </c>
      <c r="I77" s="298">
        <v>0.6117370588990978</v>
      </c>
      <c r="J77" s="298">
        <v>0.7739736036483279</v>
      </c>
      <c r="K77" s="298">
        <v>0.47689818111624066</v>
      </c>
      <c r="L77" s="298">
        <v>0.32445444976062632</v>
      </c>
      <c r="M77" s="298">
        <v>0.24590737646040681</v>
      </c>
      <c r="N77" s="298">
        <v>0.17863761703347875</v>
      </c>
      <c r="O77" s="298">
        <v>0.15238590146764369</v>
      </c>
      <c r="P77" s="298">
        <v>0.13879587874692803</v>
      </c>
      <c r="Q77" s="298">
        <v>0.10849930149243135</v>
      </c>
      <c r="R77" s="298">
        <v>0.10438708261063094</v>
      </c>
      <c r="S77" s="298">
        <v>0.10438708261063094</v>
      </c>
      <c r="T77" s="298">
        <v>0.10438708261063094</v>
      </c>
      <c r="U77" s="298">
        <v>0.10438708261063094</v>
      </c>
    </row>
    <row r="78" spans="1:21" ht="14.4" x14ac:dyDescent="0.3">
      <c r="A78" s="43">
        <v>16</v>
      </c>
      <c r="B78" s="43"/>
      <c r="C78" s="1"/>
      <c r="D78" s="298">
        <v>0.21260480542905863</v>
      </c>
      <c r="E78" s="298">
        <v>5.5251059810874539E-2</v>
      </c>
      <c r="F78" s="298">
        <v>2.9549060045343564E-2</v>
      </c>
      <c r="G78" s="298">
        <v>1.9149260351853523E-2</v>
      </c>
      <c r="H78" s="298">
        <v>8.8894084206710914E-3</v>
      </c>
      <c r="I78" s="298">
        <v>9.8004503653837914E-3</v>
      </c>
      <c r="J78" s="298">
        <v>9.3355107602731344E-3</v>
      </c>
      <c r="K78" s="298">
        <v>1.1176506405604431E-2</v>
      </c>
      <c r="L78" s="298">
        <v>1.0797812516310075E-2</v>
      </c>
      <c r="M78" s="298">
        <v>4.9258459762198314E-3</v>
      </c>
      <c r="N78" s="298">
        <v>1.5412362332936629E-3</v>
      </c>
      <c r="O78" s="298">
        <v>1.7707278526791228E-3</v>
      </c>
      <c r="P78" s="298">
        <v>3.8905467511792919E-3</v>
      </c>
      <c r="Q78" s="298">
        <v>3.1270051788819786E-3</v>
      </c>
      <c r="R78" s="298">
        <v>2.7546885466757905E-3</v>
      </c>
      <c r="S78" s="298">
        <v>2.7546885466757905E-3</v>
      </c>
      <c r="T78" s="298">
        <v>2.7546885466757905E-3</v>
      </c>
      <c r="U78" s="298">
        <v>2.7546885466757905E-3</v>
      </c>
    </row>
    <row r="79" spans="1:21" ht="14.4" x14ac:dyDescent="0.3">
      <c r="A79" s="43">
        <v>17</v>
      </c>
      <c r="B79" s="43"/>
      <c r="C79" s="1"/>
      <c r="D79" s="299">
        <v>38.305868434141544</v>
      </c>
      <c r="E79" s="298">
        <v>5.2999903687276673</v>
      </c>
      <c r="F79" s="298">
        <v>6.2578007441416821</v>
      </c>
      <c r="G79" s="299">
        <v>3.651615692351549</v>
      </c>
      <c r="H79" s="299">
        <v>3.9361368606820331</v>
      </c>
      <c r="I79" s="299">
        <v>3.5365888642625669</v>
      </c>
      <c r="J79" s="298">
        <v>2.7954962272937816</v>
      </c>
      <c r="K79" s="298">
        <v>2.4617473384512585</v>
      </c>
      <c r="L79" s="298">
        <v>2.1281057585635259</v>
      </c>
      <c r="M79" s="298">
        <v>1.850567348179557</v>
      </c>
      <c r="N79" s="299">
        <v>1.5324828885585096</v>
      </c>
      <c r="O79" s="298">
        <v>1.4251739565426205</v>
      </c>
      <c r="P79" s="298">
        <v>1.4117622874341469</v>
      </c>
      <c r="Q79" s="298">
        <v>1.3485789449567889</v>
      </c>
      <c r="R79" s="298">
        <v>1.3516864824509252</v>
      </c>
      <c r="S79" s="298">
        <v>1.3516864824509252</v>
      </c>
      <c r="T79" s="298">
        <v>1.3516864824509252</v>
      </c>
      <c r="U79" s="298">
        <v>1.3516864824509252</v>
      </c>
    </row>
    <row r="80" spans="1:21" ht="14.4" x14ac:dyDescent="0.3">
      <c r="A80" s="43">
        <v>18</v>
      </c>
      <c r="B80" s="43"/>
      <c r="C80" s="1"/>
      <c r="D80" s="298">
        <v>6.8073317161051342E-3</v>
      </c>
      <c r="E80" s="298">
        <v>4.4855023970696963E-3</v>
      </c>
      <c r="F80" s="298">
        <v>3.7080452251308581E-3</v>
      </c>
      <c r="G80" s="298">
        <v>4.1891794258732719E-3</v>
      </c>
      <c r="H80" s="298">
        <v>2.5800652861531514E-3</v>
      </c>
      <c r="I80" s="298">
        <v>5.1323452366736095E-3</v>
      </c>
      <c r="J80" s="298">
        <v>3.2624660891922676E-3</v>
      </c>
      <c r="K80" s="298">
        <v>9.7248963017647263E-4</v>
      </c>
      <c r="L80" s="298">
        <v>5.3824967182370125E-4</v>
      </c>
      <c r="M80" s="298">
        <v>3.4207800467921257E-3</v>
      </c>
      <c r="N80" s="298">
        <v>2.3022193218101682E-3</v>
      </c>
      <c r="O80" s="298">
        <v>7.1766985210155283E-4</v>
      </c>
      <c r="P80" s="298">
        <v>1.6747979107749516E-3</v>
      </c>
      <c r="Q80" s="298">
        <v>1.0243399597807483E-3</v>
      </c>
      <c r="R80" s="298">
        <v>2.7645882744071495E-3</v>
      </c>
      <c r="S80" s="298">
        <v>2.7645882744071495E-3</v>
      </c>
      <c r="T80" s="298">
        <v>2.7645882744071495E-3</v>
      </c>
      <c r="U80" s="298">
        <v>2.7645882744071495E-3</v>
      </c>
    </row>
    <row r="81" spans="1:21" ht="14.4" x14ac:dyDescent="0.3">
      <c r="A81" s="43">
        <v>19</v>
      </c>
      <c r="B81" s="43"/>
      <c r="C81" s="1"/>
      <c r="D81" s="298">
        <v>28.12675018493254</v>
      </c>
      <c r="E81" s="298">
        <v>5.7694235730205383</v>
      </c>
      <c r="F81" s="298">
        <v>4.4923444139523241</v>
      </c>
      <c r="G81" s="298">
        <v>2.461818140179882</v>
      </c>
      <c r="H81" s="298">
        <v>1.5612033953483941</v>
      </c>
      <c r="I81" s="298">
        <v>1.435344927819425</v>
      </c>
      <c r="J81" s="298">
        <v>1.8152549557696753</v>
      </c>
      <c r="K81" s="298">
        <v>1.7533389509717254</v>
      </c>
      <c r="L81" s="298">
        <v>1.6441205577377018</v>
      </c>
      <c r="M81" s="298">
        <v>1.5015094716885002</v>
      </c>
      <c r="N81" s="298">
        <v>1.1978760529333901</v>
      </c>
      <c r="O81" s="298">
        <v>0.96493434637770215</v>
      </c>
      <c r="P81" s="298">
        <v>0.86230538911097832</v>
      </c>
      <c r="Q81" s="298">
        <v>0.87143134542122158</v>
      </c>
      <c r="R81" s="298">
        <v>0.89423887387252965</v>
      </c>
      <c r="S81" s="298">
        <v>0.89423887387252965</v>
      </c>
      <c r="T81" s="298">
        <v>0.89423887387252965</v>
      </c>
      <c r="U81" s="298">
        <v>0.89423887387252965</v>
      </c>
    </row>
    <row r="82" spans="1:21" ht="14.4" x14ac:dyDescent="0.3">
      <c r="A82" s="43">
        <v>20</v>
      </c>
      <c r="B82" s="43"/>
      <c r="C82" s="1"/>
      <c r="D82" s="298">
        <v>0.16228025606892954</v>
      </c>
      <c r="E82" s="298">
        <v>3.4304595434386999E-2</v>
      </c>
      <c r="F82" s="298">
        <v>3.603503131369204E-2</v>
      </c>
      <c r="G82" s="298">
        <v>1.3414457398225953E-2</v>
      </c>
      <c r="H82" s="298">
        <v>1.3820648138552563E-2</v>
      </c>
      <c r="I82" s="298">
        <v>1.2553645285502412E-2</v>
      </c>
      <c r="J82" s="298">
        <v>1.1519216055600136E-2</v>
      </c>
      <c r="K82" s="298">
        <v>1.2482583619361326E-2</v>
      </c>
      <c r="L82" s="298">
        <v>1.0659586926913772E-2</v>
      </c>
      <c r="M82" s="298">
        <v>3.9990621565117561E-3</v>
      </c>
      <c r="N82" s="298">
        <v>4.289924599988241E-3</v>
      </c>
      <c r="O82" s="298">
        <v>2.3631359410929234E-3</v>
      </c>
      <c r="P82" s="298">
        <v>2.0372139828744758E-3</v>
      </c>
      <c r="Q82" s="298">
        <v>2.6099379219788315E-3</v>
      </c>
      <c r="R82" s="298">
        <v>3.3164014470484933E-3</v>
      </c>
      <c r="S82" s="298">
        <v>3.3164014470484933E-3</v>
      </c>
      <c r="T82" s="298">
        <v>3.3164014470484933E-3</v>
      </c>
      <c r="U82" s="298">
        <v>3.3164014470484933E-3</v>
      </c>
    </row>
    <row r="83" spans="1:21" ht="14.4" x14ac:dyDescent="0.3">
      <c r="A83" s="43">
        <v>21</v>
      </c>
      <c r="B83" s="43"/>
      <c r="C83" s="1"/>
      <c r="D83" s="298">
        <v>0.62329316321319206</v>
      </c>
      <c r="E83" s="298">
        <v>0.38652912360520963</v>
      </c>
      <c r="F83" s="298">
        <v>0.28848587809075404</v>
      </c>
      <c r="G83" s="298">
        <v>0.2327624797312611</v>
      </c>
      <c r="H83" s="298">
        <v>0.12695962714013889</v>
      </c>
      <c r="I83" s="298">
        <v>0.43156831387325317</v>
      </c>
      <c r="J83" s="298">
        <v>0.51232861946084751</v>
      </c>
      <c r="K83" s="298">
        <v>0.33639919482821595</v>
      </c>
      <c r="L83" s="298">
        <v>0.24976274080004948</v>
      </c>
      <c r="M83" s="298">
        <v>0.20143664947276263</v>
      </c>
      <c r="N83" s="298">
        <v>0.14886071320433725</v>
      </c>
      <c r="O83" s="298">
        <v>0.11057082122039739</v>
      </c>
      <c r="P83" s="298">
        <v>8.69095877563483E-2</v>
      </c>
      <c r="Q83" s="298">
        <v>6.469840401868561E-2</v>
      </c>
      <c r="R83" s="298">
        <v>6.207334554446476E-2</v>
      </c>
      <c r="S83" s="298">
        <v>6.207334554446476E-2</v>
      </c>
      <c r="T83" s="298">
        <v>6.207334554446476E-2</v>
      </c>
      <c r="U83" s="298">
        <v>6.207334554446476E-2</v>
      </c>
    </row>
    <row r="84" spans="1:21" ht="14.4" x14ac:dyDescent="0.3">
      <c r="A84" s="43">
        <v>22</v>
      </c>
      <c r="B84" s="43"/>
      <c r="C84" s="1"/>
      <c r="D84" s="298">
        <v>0.10196628651957353</v>
      </c>
      <c r="E84" s="298">
        <v>3.8702088424270906E-2</v>
      </c>
      <c r="F84" s="298">
        <v>3.2940823141321553E-2</v>
      </c>
      <c r="G84" s="298">
        <v>1.4397088226243407E-2</v>
      </c>
      <c r="H84" s="298">
        <v>8.0433131135157904E-3</v>
      </c>
      <c r="I84" s="298">
        <v>9.1411482785596215E-3</v>
      </c>
      <c r="J84" s="298">
        <v>1.3328297513609087E-2</v>
      </c>
      <c r="K84" s="298">
        <v>9.9334339431091864E-3</v>
      </c>
      <c r="L84" s="298">
        <v>8.7776949548354632E-3</v>
      </c>
      <c r="M84" s="298">
        <v>2.8422690440152187E-3</v>
      </c>
      <c r="N84" s="298">
        <v>1.7693174251628295E-3</v>
      </c>
      <c r="O84" s="298">
        <v>2.3683965026528521E-3</v>
      </c>
      <c r="P84" s="298">
        <v>2.2687748359132434E-3</v>
      </c>
      <c r="Q84" s="298">
        <v>3.2956893394252857E-3</v>
      </c>
      <c r="R84" s="298">
        <v>3.1845733198832878E-3</v>
      </c>
      <c r="S84" s="298">
        <v>3.1845733198832878E-3</v>
      </c>
      <c r="T84" s="298">
        <v>3.1845733198832878E-3</v>
      </c>
      <c r="U84" s="298">
        <v>3.1845733198832878E-3</v>
      </c>
    </row>
    <row r="85" spans="1:21" ht="14.4" x14ac:dyDescent="0.3">
      <c r="A85" s="43">
        <v>23</v>
      </c>
      <c r="B85" s="43"/>
      <c r="C85" s="1"/>
      <c r="D85" s="298">
        <v>14.111336248333169</v>
      </c>
      <c r="E85" s="298">
        <v>4.5502762773923147</v>
      </c>
      <c r="F85" s="298">
        <v>2.8173069900787024</v>
      </c>
      <c r="G85" s="298">
        <v>2.0670952688936821</v>
      </c>
      <c r="H85" s="298">
        <v>2.2928087910650583</v>
      </c>
      <c r="I85" s="298">
        <v>1.9472020944612196</v>
      </c>
      <c r="J85" s="298">
        <v>1.3645089433593613</v>
      </c>
      <c r="K85" s="298">
        <v>1.1709027163413299</v>
      </c>
      <c r="L85" s="298">
        <v>1.0449622436221531</v>
      </c>
      <c r="M85" s="298">
        <v>0.98668776275695924</v>
      </c>
      <c r="N85" s="298">
        <v>0.97151910927620677</v>
      </c>
      <c r="O85" s="298">
        <v>0.91499109629030073</v>
      </c>
      <c r="P85" s="298">
        <v>0.81941237005377587</v>
      </c>
      <c r="Q85" s="298">
        <v>0.64151011524075341</v>
      </c>
      <c r="R85" s="298">
        <v>0.64347399672352978</v>
      </c>
      <c r="S85" s="298">
        <v>0.64347399672352978</v>
      </c>
      <c r="T85" s="298">
        <v>0.64347399672352978</v>
      </c>
      <c r="U85" s="298">
        <v>0.64347399672352978</v>
      </c>
    </row>
    <row r="86" spans="1:21" ht="14.4" x14ac:dyDescent="0.3">
      <c r="A86" s="43">
        <v>24</v>
      </c>
      <c r="B86" s="43"/>
      <c r="C86" s="1"/>
      <c r="D86" s="298">
        <v>3.6824454901743818E-2</v>
      </c>
      <c r="E86" s="298">
        <v>9.8382681602157043E-3</v>
      </c>
      <c r="F86" s="298">
        <v>2.4869442257516557E-3</v>
      </c>
      <c r="G86" s="298">
        <v>3.7823320015961076E-3</v>
      </c>
      <c r="H86" s="298">
        <v>3.0035667733548503E-3</v>
      </c>
      <c r="I86" s="298">
        <v>5.3235417328994826E-3</v>
      </c>
      <c r="J86" s="298">
        <v>5.8116700278296428E-3</v>
      </c>
      <c r="K86" s="298">
        <v>2.9855222275943743E-3</v>
      </c>
      <c r="L86" s="298">
        <v>2.3272957918215429E-3</v>
      </c>
      <c r="M86" s="298">
        <v>3.1075268606800422E-3</v>
      </c>
      <c r="N86" s="298">
        <v>1.6642059470906843E-3</v>
      </c>
      <c r="O86" s="298">
        <v>5.0465814106315395E-4</v>
      </c>
      <c r="P86" s="298">
        <v>2.4652728971896356E-3</v>
      </c>
      <c r="Q86" s="298">
        <v>5.6815989694872823E-4</v>
      </c>
      <c r="R86" s="298">
        <v>2.910084521893625E-3</v>
      </c>
      <c r="S86" s="298">
        <v>2.910084521893625E-3</v>
      </c>
      <c r="T86" s="298">
        <v>2.910084521893625E-3</v>
      </c>
      <c r="U86" s="298">
        <v>2.910084521893625E-3</v>
      </c>
    </row>
    <row r="87" spans="1:21" ht="14.4" x14ac:dyDescent="0.3">
      <c r="A87" s="43">
        <v>25</v>
      </c>
      <c r="B87" s="43"/>
      <c r="C87" s="1"/>
      <c r="D87" s="298">
        <v>9.1460847189836905</v>
      </c>
      <c r="E87" s="298">
        <v>3.3287755929835949</v>
      </c>
      <c r="F87" s="298">
        <v>2.4769082641614584</v>
      </c>
      <c r="G87" s="298">
        <v>1.4065816239828657</v>
      </c>
      <c r="H87" s="298">
        <v>0.9812541545579192</v>
      </c>
      <c r="I87" s="298">
        <v>0.87516515937476913</v>
      </c>
      <c r="J87" s="298">
        <v>1.0203047520164361</v>
      </c>
      <c r="K87" s="298">
        <v>0.89181945133108653</v>
      </c>
      <c r="L87" s="298">
        <v>0.77335390981045959</v>
      </c>
      <c r="M87" s="298">
        <v>0.680943962179267</v>
      </c>
      <c r="N87" s="298">
        <v>0.60410783726699213</v>
      </c>
      <c r="O87" s="298">
        <v>0.59625159344747769</v>
      </c>
      <c r="P87" s="298">
        <v>0.57911197721694829</v>
      </c>
      <c r="Q87" s="298">
        <v>0.47588131924725879</v>
      </c>
      <c r="R87" s="298">
        <v>0.48332856078705327</v>
      </c>
      <c r="S87" s="298">
        <v>0.48332856078705327</v>
      </c>
      <c r="T87" s="298">
        <v>0.48332856078705327</v>
      </c>
      <c r="U87" s="298">
        <v>0.48332856078705327</v>
      </c>
    </row>
    <row r="88" spans="1:21" ht="14.4" x14ac:dyDescent="0.3">
      <c r="A88" s="43">
        <v>26</v>
      </c>
      <c r="B88" s="43"/>
      <c r="C88" s="1"/>
      <c r="D88" s="298">
        <v>5.0821504219815294E-2</v>
      </c>
      <c r="E88" s="298">
        <v>5.5062549483802257E-2</v>
      </c>
      <c r="F88" s="298">
        <v>2.6569838221547654E-2</v>
      </c>
      <c r="G88" s="298">
        <v>1.7180710354120391E-2</v>
      </c>
      <c r="H88" s="298">
        <v>1.4413765296386657E-2</v>
      </c>
      <c r="I88" s="298">
        <v>1.340051166752103E-2</v>
      </c>
      <c r="J88" s="298">
        <v>1.2261667576280695E-2</v>
      </c>
      <c r="K88" s="298">
        <v>1.1494261330574136E-2</v>
      </c>
      <c r="L88" s="298">
        <v>1.1502164549246671E-2</v>
      </c>
      <c r="M88" s="298">
        <v>6.3586835670058186E-3</v>
      </c>
      <c r="N88" s="298">
        <v>5.7283366829020497E-3</v>
      </c>
      <c r="O88" s="298">
        <v>1.4156391535011382E-3</v>
      </c>
      <c r="P88" s="298">
        <v>2.35923526977449E-3</v>
      </c>
      <c r="Q88" s="298">
        <v>3.048115692564884E-3</v>
      </c>
      <c r="R88" s="298">
        <v>2.505817916151253E-3</v>
      </c>
      <c r="S88" s="298">
        <v>2.505817916151253E-3</v>
      </c>
      <c r="T88" s="298">
        <v>2.505817916151253E-3</v>
      </c>
      <c r="U88" s="298">
        <v>2.505817916151253E-3</v>
      </c>
    </row>
    <row r="89" spans="1:21" ht="14.4" x14ac:dyDescent="0.3">
      <c r="A89" s="43">
        <v>27</v>
      </c>
      <c r="B89" s="43"/>
      <c r="C89" s="1"/>
      <c r="D89" s="298">
        <v>0.21238680360962095</v>
      </c>
      <c r="E89" s="298">
        <v>0.25707405179893289</v>
      </c>
      <c r="F89" s="298">
        <v>0.16073741316951387</v>
      </c>
      <c r="G89" s="298">
        <v>0.17380962651022741</v>
      </c>
      <c r="H89" s="298">
        <v>9.1193806224074303E-2</v>
      </c>
      <c r="I89" s="298">
        <v>0.33088372878460953</v>
      </c>
      <c r="J89" s="298">
        <v>0.40809218499146371</v>
      </c>
      <c r="K89" s="298">
        <v>0.28326195110267732</v>
      </c>
      <c r="L89" s="298">
        <v>0.20563582476045428</v>
      </c>
      <c r="M89" s="298">
        <v>0.15760505021576746</v>
      </c>
      <c r="N89" s="298">
        <v>9.9377043514666238E-2</v>
      </c>
      <c r="O89" s="298">
        <v>7.5391622206023953E-2</v>
      </c>
      <c r="P89" s="298">
        <v>6.8011485955306775E-2</v>
      </c>
      <c r="Q89" s="298">
        <v>5.56664765461901E-2</v>
      </c>
      <c r="R89" s="298">
        <v>5.3354821022066533E-2</v>
      </c>
      <c r="S89" s="298">
        <v>5.3354821022066533E-2</v>
      </c>
      <c r="T89" s="298">
        <v>5.3354821022066533E-2</v>
      </c>
      <c r="U89" s="298">
        <v>5.3354821022066533E-2</v>
      </c>
    </row>
    <row r="90" spans="1:21" ht="14.4" x14ac:dyDescent="0.3">
      <c r="A90" s="43">
        <v>28</v>
      </c>
      <c r="B90" s="43"/>
      <c r="C90" s="1"/>
      <c r="D90" s="298">
        <v>1.9392625777396737E-2</v>
      </c>
      <c r="E90" s="298">
        <v>4.7102518518670457E-2</v>
      </c>
      <c r="F90" s="298">
        <v>2.8971418661601897E-2</v>
      </c>
      <c r="G90" s="298">
        <v>1.1872541264805246E-2</v>
      </c>
      <c r="H90" s="298">
        <v>6.9611130983163278E-3</v>
      </c>
      <c r="I90" s="298">
        <v>8.5362681900183323E-3</v>
      </c>
      <c r="J90" s="298">
        <v>1.2556658041302614E-2</v>
      </c>
      <c r="K90" s="298">
        <v>1.0537656791068419E-2</v>
      </c>
      <c r="L90" s="298">
        <v>9.2930775732190107E-3</v>
      </c>
      <c r="M90" s="298">
        <v>3.3090135809581808E-3</v>
      </c>
      <c r="N90" s="298">
        <v>8.4429509332862738E-4</v>
      </c>
      <c r="O90" s="298">
        <v>1.7536756837702497E-3</v>
      </c>
      <c r="P90" s="298">
        <v>1.2486380283558422E-3</v>
      </c>
      <c r="Q90" s="298">
        <v>3.2293207653354824E-3</v>
      </c>
      <c r="R90" s="298">
        <v>2.7333925969108054E-3</v>
      </c>
      <c r="S90" s="298">
        <v>2.7333925969108054E-3</v>
      </c>
      <c r="T90" s="298">
        <v>2.7333925969108054E-3</v>
      </c>
      <c r="U90" s="298">
        <v>2.7333925969108054E-3</v>
      </c>
    </row>
    <row r="91" spans="1:21" ht="14.4" x14ac:dyDescent="0.3">
      <c r="A91" s="43">
        <v>29</v>
      </c>
      <c r="B91" s="43"/>
      <c r="C91" s="1"/>
      <c r="D91" s="298">
        <v>6.5146861253923207</v>
      </c>
      <c r="E91" s="298">
        <v>2.6788137999966111</v>
      </c>
      <c r="F91" s="298">
        <v>1.6106667515221753</v>
      </c>
      <c r="G91" s="298">
        <v>1.3975423047728013</v>
      </c>
      <c r="H91" s="298">
        <v>1.3999934630363924</v>
      </c>
      <c r="I91" s="298">
        <v>1.0907850218496227</v>
      </c>
      <c r="J91" s="298">
        <v>0.75870567381450926</v>
      </c>
      <c r="K91" s="298">
        <v>0.75678843679568575</v>
      </c>
      <c r="L91" s="298">
        <v>0.75575983296320848</v>
      </c>
      <c r="M91" s="298">
        <v>0.72478506133268517</v>
      </c>
      <c r="N91" s="298">
        <v>0.61840577400138186</v>
      </c>
      <c r="O91" s="298">
        <v>0.50578743449988961</v>
      </c>
      <c r="P91" s="298">
        <v>0.46727025134098182</v>
      </c>
      <c r="Q91" s="298">
        <v>0.45386743782930422</v>
      </c>
      <c r="R91" s="298">
        <v>0.4514293951690499</v>
      </c>
      <c r="S91" s="298">
        <v>0.4514293951690499</v>
      </c>
      <c r="T91" s="298">
        <v>0.4514293951690499</v>
      </c>
      <c r="U91" s="298">
        <v>0.4514293951690499</v>
      </c>
    </row>
    <row r="92" spans="1:21" ht="14.4" x14ac:dyDescent="0.3">
      <c r="A92" s="43">
        <v>30</v>
      </c>
      <c r="B92" s="43"/>
      <c r="C92" s="1"/>
      <c r="D92" s="298">
        <v>3.4884370898550648E-2</v>
      </c>
      <c r="E92" s="298">
        <v>4.1765772225850796E-3</v>
      </c>
      <c r="F92" s="298">
        <v>3.1945642193693534E-3</v>
      </c>
      <c r="G92" s="298">
        <v>3.60287707209932E-3</v>
      </c>
      <c r="H92" s="298">
        <v>3.2920300374340902E-3</v>
      </c>
      <c r="I92" s="298">
        <v>5.0314868423076246E-3</v>
      </c>
      <c r="J92" s="298">
        <v>4.6053075814346854E-3</v>
      </c>
      <c r="K92" s="298">
        <v>3.6991571943863818E-3</v>
      </c>
      <c r="L92" s="298">
        <v>1.9564019833816105E-3</v>
      </c>
      <c r="M92" s="298">
        <v>2.8717553777810353E-3</v>
      </c>
      <c r="N92" s="298">
        <v>2.6821760992090326E-3</v>
      </c>
      <c r="O92" s="298">
        <v>5.3985110846739104E-4</v>
      </c>
      <c r="P92" s="298">
        <v>8.6189772740157076E-4</v>
      </c>
      <c r="Q92" s="298">
        <v>7.0587971191137216E-4</v>
      </c>
      <c r="R92" s="298">
        <v>2.5967183728580682E-3</v>
      </c>
      <c r="S92" s="298">
        <v>2.5967183728580682E-3</v>
      </c>
      <c r="T92" s="298">
        <v>2.5967183728580682E-3</v>
      </c>
      <c r="U92" s="298">
        <v>2.5967183728580682E-3</v>
      </c>
    </row>
    <row r="93" spans="1:21" ht="14.4" x14ac:dyDescent="0.3">
      <c r="A93" s="43">
        <v>31</v>
      </c>
      <c r="B93" s="43"/>
      <c r="C93" s="1"/>
      <c r="D93" s="298">
        <v>6.3339107327432735</v>
      </c>
      <c r="E93" s="298">
        <v>2.4858685050570775</v>
      </c>
      <c r="F93" s="298">
        <v>1.4322222537619056</v>
      </c>
      <c r="G93" s="298">
        <v>0.82280279165842463</v>
      </c>
      <c r="H93" s="298">
        <v>0.68512353629472578</v>
      </c>
      <c r="I93" s="298">
        <v>0.58112005814292844</v>
      </c>
      <c r="J93" s="298">
        <v>0.56772740214173922</v>
      </c>
      <c r="K93" s="298">
        <v>0.46221863452787271</v>
      </c>
      <c r="L93" s="298">
        <v>0.42486576546865334</v>
      </c>
      <c r="M93" s="298">
        <v>0.43056874893088998</v>
      </c>
      <c r="N93" s="298">
        <v>0.43268010175951643</v>
      </c>
      <c r="O93" s="298">
        <v>0.37617527613812002</v>
      </c>
      <c r="P93" s="298">
        <v>0.31678577460681751</v>
      </c>
      <c r="Q93" s="298">
        <v>0.30877008317967913</v>
      </c>
      <c r="R93" s="298">
        <v>0.3120658886678041</v>
      </c>
      <c r="S93" s="298">
        <v>0.3120658886678041</v>
      </c>
      <c r="T93" s="298">
        <v>0.3120658886678041</v>
      </c>
      <c r="U93" s="298">
        <v>0.3120658886678041</v>
      </c>
    </row>
    <row r="94" spans="1:21" ht="14.4" x14ac:dyDescent="0.3">
      <c r="A94" s="43">
        <v>32</v>
      </c>
      <c r="B94" s="43"/>
      <c r="C94" s="1"/>
      <c r="D94" s="298">
        <v>4.6506205535545839E-2</v>
      </c>
      <c r="E94" s="298">
        <v>3.3260518350729629E-2</v>
      </c>
      <c r="F94" s="298">
        <v>2.9586195514357663E-2</v>
      </c>
      <c r="G94" s="298">
        <v>1.9535797704362808E-2</v>
      </c>
      <c r="H94" s="298">
        <v>1.4563606306652922E-2</v>
      </c>
      <c r="I94" s="298">
        <v>1.305927336868163E-2</v>
      </c>
      <c r="J94" s="298">
        <v>8.8970610246392086E-3</v>
      </c>
      <c r="K94" s="298">
        <v>1.1901375104307985E-2</v>
      </c>
      <c r="L94" s="298">
        <v>1.1921658515740853E-2</v>
      </c>
      <c r="M94" s="298">
        <v>5.9187663071225798E-3</v>
      </c>
      <c r="N94" s="298">
        <v>4.587462629749072E-3</v>
      </c>
      <c r="O94" s="298">
        <v>1.2699646308248702E-3</v>
      </c>
      <c r="P94" s="298">
        <v>2.2444292602197963E-3</v>
      </c>
      <c r="Q94" s="298">
        <v>2.8384966763810126E-3</v>
      </c>
      <c r="R94" s="298">
        <v>2.9287371239286731E-3</v>
      </c>
      <c r="S94" s="298">
        <v>2.9287371239286731E-3</v>
      </c>
      <c r="T94" s="298">
        <v>2.9287371239286731E-3</v>
      </c>
      <c r="U94" s="298">
        <v>2.9287371239286731E-3</v>
      </c>
    </row>
    <row r="95" spans="1:21" ht="14.4" x14ac:dyDescent="0.3">
      <c r="A95" s="43">
        <v>33</v>
      </c>
      <c r="B95" s="43"/>
      <c r="C95" s="1"/>
      <c r="D95" s="298">
        <v>0.30274927892914244</v>
      </c>
      <c r="E95" s="298">
        <v>1.7216657169820748E-2</v>
      </c>
      <c r="F95" s="298">
        <v>0.12233571605865014</v>
      </c>
      <c r="G95" s="298">
        <v>0.13605621192601108</v>
      </c>
      <c r="H95" s="298">
        <v>7.0763148414675126E-2</v>
      </c>
      <c r="I95" s="298">
        <v>0.26563628264177047</v>
      </c>
      <c r="J95" s="298">
        <v>0.34165566585023771</v>
      </c>
      <c r="K95" s="298">
        <v>0.22742267911109676</v>
      </c>
      <c r="L95" s="298">
        <v>0.15381673439332844</v>
      </c>
      <c r="M95" s="298">
        <v>0.11558930646976719</v>
      </c>
      <c r="N95" s="298">
        <v>8.4151409301761251E-2</v>
      </c>
      <c r="O95" s="298">
        <v>6.7503639523961864E-2</v>
      </c>
      <c r="P95" s="298">
        <v>5.6413371607669127E-2</v>
      </c>
      <c r="Q95" s="298">
        <v>4.1647697018963321E-2</v>
      </c>
      <c r="R95" s="298">
        <v>3.9799798597555773E-2</v>
      </c>
      <c r="S95" s="298">
        <v>3.9799798597555773E-2</v>
      </c>
      <c r="T95" s="298">
        <v>3.9799798597555773E-2</v>
      </c>
      <c r="U95" s="298">
        <v>3.9799798597555773E-2</v>
      </c>
    </row>
    <row r="96" spans="1:21" ht="14.4" x14ac:dyDescent="0.3">
      <c r="A96" s="43">
        <v>34</v>
      </c>
      <c r="B96" s="43"/>
      <c r="C96" s="1"/>
      <c r="D96" s="298">
        <v>0.15658261184107439</v>
      </c>
      <c r="E96" s="298">
        <v>6.9206297258360139E-2</v>
      </c>
      <c r="F96" s="298">
        <v>0.11719738000471913</v>
      </c>
      <c r="G96" s="298">
        <v>9.0950515996728487E-2</v>
      </c>
      <c r="H96" s="298">
        <v>5.6069430808107633E-2</v>
      </c>
      <c r="I96" s="298">
        <v>0.18457651004529252</v>
      </c>
      <c r="J96" s="298">
        <v>0.21861320828195963</v>
      </c>
      <c r="K96" s="298">
        <v>0.14805460867942424</v>
      </c>
      <c r="L96" s="298">
        <v>0.10865726471480185</v>
      </c>
      <c r="M96" s="298">
        <v>8.7921961526698345E-2</v>
      </c>
      <c r="N96" s="298">
        <v>5.8256465500538285E-2</v>
      </c>
      <c r="O96" s="298">
        <v>4.4253058727944716E-2</v>
      </c>
      <c r="P96" s="298">
        <v>3.9509788445304235E-2</v>
      </c>
      <c r="Q96" s="298">
        <v>2.9542651780987427E-2</v>
      </c>
      <c r="R96" s="298">
        <v>2.8071591122090556E-2</v>
      </c>
      <c r="S96" s="298">
        <v>2.8071591122090556E-2</v>
      </c>
      <c r="T96" s="298">
        <v>2.8071591122090556E-2</v>
      </c>
      <c r="U96" s="298">
        <v>2.8071591122090556E-2</v>
      </c>
    </row>
    <row r="97" spans="1:21" ht="14.4" x14ac:dyDescent="0.3">
      <c r="A97" s="43">
        <v>35</v>
      </c>
      <c r="B97" s="43"/>
      <c r="C97" s="1"/>
      <c r="D97" s="298">
        <v>5.9029852258662023</v>
      </c>
      <c r="E97" s="298">
        <v>1.4733260588243429</v>
      </c>
      <c r="F97" s="298">
        <v>1.2803616292235322</v>
      </c>
      <c r="G97" s="298">
        <v>1.0290257258239199</v>
      </c>
      <c r="H97" s="298">
        <v>0.95078684693100002</v>
      </c>
      <c r="I97" s="298">
        <v>0.68755518357204037</v>
      </c>
      <c r="J97" s="298">
        <v>0.51648077967213191</v>
      </c>
      <c r="K97" s="298">
        <v>0.5658478637815777</v>
      </c>
      <c r="L97" s="298">
        <v>0.55172205299175037</v>
      </c>
      <c r="M97" s="298">
        <v>0.48796466250698262</v>
      </c>
      <c r="N97" s="298">
        <v>0.39029335703643686</v>
      </c>
      <c r="O97" s="298">
        <v>0.36343466624775511</v>
      </c>
      <c r="P97" s="298">
        <v>0.35166631128246867</v>
      </c>
      <c r="Q97" s="298">
        <v>0.28545240285608292</v>
      </c>
      <c r="R97" s="298">
        <v>0.28281840150514814</v>
      </c>
      <c r="S97" s="298">
        <v>0.28281840150514814</v>
      </c>
      <c r="T97" s="298">
        <v>0.28281840150514814</v>
      </c>
      <c r="U97" s="298">
        <v>0.28281840150514814</v>
      </c>
    </row>
    <row r="98" spans="1:21" ht="14.4" x14ac:dyDescent="0.3">
      <c r="A98" s="43">
        <v>36</v>
      </c>
      <c r="B98" s="43"/>
      <c r="C98" s="1"/>
      <c r="D98" s="298">
        <v>0.15658261184107439</v>
      </c>
      <c r="E98" s="298">
        <v>6.9206297258360139E-2</v>
      </c>
      <c r="F98" s="298">
        <v>0.11719738000471913</v>
      </c>
      <c r="G98" s="298">
        <v>9.0950515996728487E-2</v>
      </c>
      <c r="H98" s="298">
        <v>5.6069430808107633E-2</v>
      </c>
      <c r="I98" s="298">
        <v>0.18457651004529252</v>
      </c>
      <c r="J98" s="298">
        <v>0.21861320828195963</v>
      </c>
      <c r="K98" s="298">
        <v>0.14805460867942424</v>
      </c>
      <c r="L98" s="298">
        <v>0.10865726471480185</v>
      </c>
      <c r="M98" s="298">
        <v>8.7921961526698345E-2</v>
      </c>
      <c r="N98" s="298">
        <v>5.8256465500538285E-2</v>
      </c>
      <c r="O98" s="298">
        <v>4.4253058727944716E-2</v>
      </c>
      <c r="P98" s="298">
        <v>3.9509788445304235E-2</v>
      </c>
      <c r="Q98" s="298">
        <v>2.9542651780987427E-2</v>
      </c>
      <c r="R98" s="298">
        <v>2.8071591122090556E-2</v>
      </c>
      <c r="S98" s="298">
        <v>2.8071591122090556E-2</v>
      </c>
      <c r="T98" s="298">
        <v>2.8071591122090556E-2</v>
      </c>
      <c r="U98" s="298">
        <v>2.8071591122090556E-2</v>
      </c>
    </row>
    <row r="99" spans="1:21" ht="14.4" x14ac:dyDescent="0.3">
      <c r="A99" s="43">
        <v>37</v>
      </c>
      <c r="B99" s="43"/>
      <c r="C99" s="1"/>
      <c r="D99" s="298">
        <v>4.7242605294817244</v>
      </c>
      <c r="E99" s="298">
        <v>1.4147795985274163</v>
      </c>
      <c r="F99" s="298">
        <v>0.86563302172429457</v>
      </c>
      <c r="G99" s="298">
        <v>0.58792408051231626</v>
      </c>
      <c r="H99" s="298">
        <v>0.44571284137714501</v>
      </c>
      <c r="I99" s="298">
        <v>0.35071388358174704</v>
      </c>
      <c r="J99" s="298">
        <v>0.34192356461046053</v>
      </c>
      <c r="K99" s="298">
        <v>0.32136315457507253</v>
      </c>
      <c r="L99" s="298">
        <v>0.32334277343163409</v>
      </c>
      <c r="M99" s="298">
        <v>0.31458122808120276</v>
      </c>
      <c r="N99" s="298">
        <v>0.26038899134139826</v>
      </c>
      <c r="O99" s="298">
        <v>0.23293659142238254</v>
      </c>
      <c r="P99" s="298">
        <v>0.23495243567481122</v>
      </c>
      <c r="Q99" s="298">
        <v>0.1983093021126322</v>
      </c>
      <c r="R99" s="298">
        <v>0.19995839901366486</v>
      </c>
      <c r="S99" s="298">
        <v>0.19995839901366486</v>
      </c>
      <c r="T99" s="298">
        <v>0.19995839901366486</v>
      </c>
      <c r="U99" s="298">
        <v>0.19995839901366486</v>
      </c>
    </row>
    <row r="100" spans="1:21" ht="14.4" x14ac:dyDescent="0.3">
      <c r="A100" s="43">
        <v>38</v>
      </c>
      <c r="B100" s="43"/>
      <c r="C100" s="1"/>
      <c r="D100" s="298">
        <v>0.15658261184107439</v>
      </c>
      <c r="E100" s="298">
        <v>6.9206297258360139E-2</v>
      </c>
      <c r="F100" s="298">
        <v>0.11719738000471913</v>
      </c>
      <c r="G100" s="298">
        <v>9.0950515996728487E-2</v>
      </c>
      <c r="H100" s="298">
        <v>5.6069430808107633E-2</v>
      </c>
      <c r="I100" s="298">
        <v>0.18457651004529252</v>
      </c>
      <c r="J100" s="298">
        <v>0.21861320828195963</v>
      </c>
      <c r="K100" s="298">
        <v>0.14805460867942424</v>
      </c>
      <c r="L100" s="298">
        <v>0.10865726471480185</v>
      </c>
      <c r="M100" s="298">
        <v>8.7921961526698345E-2</v>
      </c>
      <c r="N100" s="298">
        <v>5.8256465500538285E-2</v>
      </c>
      <c r="O100" s="298">
        <v>4.4253058727944716E-2</v>
      </c>
      <c r="P100" s="298">
        <v>3.9509788445304235E-2</v>
      </c>
      <c r="Q100" s="298">
        <v>2.9542651780987427E-2</v>
      </c>
      <c r="R100" s="298">
        <v>2.8071591122090556E-2</v>
      </c>
      <c r="S100" s="298">
        <v>2.8071591122090556E-2</v>
      </c>
      <c r="T100" s="298">
        <v>2.8071591122090556E-2</v>
      </c>
      <c r="U100" s="298">
        <v>2.8071591122090556E-2</v>
      </c>
    </row>
    <row r="101" spans="1:21" ht="14.4" x14ac:dyDescent="0.3">
      <c r="A101" s="43">
        <v>39</v>
      </c>
      <c r="B101" s="43"/>
      <c r="C101" s="1"/>
      <c r="D101" s="298">
        <v>0.2079850899943797</v>
      </c>
      <c r="E101" s="298">
        <v>0.13041647508011303</v>
      </c>
      <c r="F101" s="298">
        <v>0.12947509110634475</v>
      </c>
      <c r="G101" s="298">
        <v>0.11009404781577684</v>
      </c>
      <c r="H101" s="298">
        <v>6.014929527512837E-2</v>
      </c>
      <c r="I101" s="298">
        <v>0.21949671273146126</v>
      </c>
      <c r="J101" s="298">
        <v>0.27640701454444089</v>
      </c>
      <c r="K101" s="298">
        <v>0.17818419975534588</v>
      </c>
      <c r="L101" s="298">
        <v>0.12256174642203793</v>
      </c>
      <c r="M101" s="298">
        <v>9.8387203409769475E-2</v>
      </c>
      <c r="N101" s="298">
        <v>7.1958024598108364E-2</v>
      </c>
      <c r="O101" s="298">
        <v>5.1366620792552581E-2</v>
      </c>
      <c r="P101" s="298">
        <v>4.2850088405828553E-2</v>
      </c>
      <c r="Q101" s="298">
        <v>3.5922322150466021E-2</v>
      </c>
      <c r="R101" s="298">
        <v>3.4556391879303032E-2</v>
      </c>
      <c r="S101" s="298">
        <v>3.4556391879303032E-2</v>
      </c>
      <c r="T101" s="298">
        <v>3.4556391879303032E-2</v>
      </c>
      <c r="U101" s="298">
        <v>3.4556391879303032E-2</v>
      </c>
    </row>
    <row r="102" spans="1:21" ht="14.4" x14ac:dyDescent="0.3">
      <c r="A102" s="43">
        <v>40</v>
      </c>
      <c r="B102" s="43"/>
      <c r="C102" s="1"/>
      <c r="D102" s="298">
        <v>0.15658261184107439</v>
      </c>
      <c r="E102" s="298">
        <v>6.9206297258360139E-2</v>
      </c>
      <c r="F102" s="298">
        <v>0.11719738000471913</v>
      </c>
      <c r="G102" s="298">
        <v>9.0950515996728487E-2</v>
      </c>
      <c r="H102" s="298">
        <v>5.6069430808107633E-2</v>
      </c>
      <c r="I102" s="298">
        <v>0.18457651004529252</v>
      </c>
      <c r="J102" s="298">
        <v>0.21861320828195963</v>
      </c>
      <c r="K102" s="298">
        <v>0.14805460867942424</v>
      </c>
      <c r="L102" s="298">
        <v>0.10865726471480185</v>
      </c>
      <c r="M102" s="298">
        <v>8.7921961526698345E-2</v>
      </c>
      <c r="N102" s="298">
        <v>5.8256465500538285E-2</v>
      </c>
      <c r="O102" s="298">
        <v>4.4253058727944716E-2</v>
      </c>
      <c r="P102" s="298">
        <v>3.9509788445304235E-2</v>
      </c>
      <c r="Q102" s="298">
        <v>2.9542651780987427E-2</v>
      </c>
      <c r="R102" s="298">
        <v>2.8071591122090556E-2</v>
      </c>
      <c r="S102" s="298">
        <v>2.8071591122090556E-2</v>
      </c>
      <c r="T102" s="298">
        <v>2.8071591122090556E-2</v>
      </c>
      <c r="U102" s="298">
        <v>2.8071591122090556E-2</v>
      </c>
    </row>
    <row r="103" spans="1:21" ht="14.4" x14ac:dyDescent="0.3">
      <c r="A103" s="43">
        <v>41</v>
      </c>
      <c r="B103" s="43"/>
      <c r="C103" s="1"/>
      <c r="D103" s="298">
        <v>2.9593523720748518</v>
      </c>
      <c r="E103" s="298">
        <v>1.3960448536050045</v>
      </c>
      <c r="F103" s="298">
        <v>0.9788469484846104</v>
      </c>
      <c r="G103" s="298">
        <v>0.76626902234982497</v>
      </c>
      <c r="H103" s="298">
        <v>0.64986432358583057</v>
      </c>
      <c r="I103" s="298">
        <v>0.49479101470748305</v>
      </c>
      <c r="J103" s="298">
        <v>0.39951328972932304</v>
      </c>
      <c r="K103" s="298">
        <v>0.41594580564321404</v>
      </c>
      <c r="L103" s="298">
        <v>0.37579029347140652</v>
      </c>
      <c r="M103" s="298">
        <v>0.32440122806902955</v>
      </c>
      <c r="N103" s="298">
        <v>0.30529874652047795</v>
      </c>
      <c r="O103" s="298">
        <v>0.272856325769609</v>
      </c>
      <c r="P103" s="298">
        <v>0.23528249165808171</v>
      </c>
      <c r="Q103" s="298">
        <v>0.21930268062364178</v>
      </c>
      <c r="R103" s="298">
        <v>0.21942223358685053</v>
      </c>
      <c r="S103" s="298">
        <v>0.21942223358685053</v>
      </c>
      <c r="T103" s="298">
        <v>0.21942223358685053</v>
      </c>
      <c r="U103" s="298">
        <v>0.21942223358685053</v>
      </c>
    </row>
    <row r="104" spans="1:21" ht="14.4" x14ac:dyDescent="0.3">
      <c r="A104" s="43">
        <v>42</v>
      </c>
      <c r="B104" s="43"/>
      <c r="C104" s="1"/>
      <c r="D104" s="298">
        <v>0.15658261184107439</v>
      </c>
      <c r="E104" s="298">
        <v>6.9206297258360139E-2</v>
      </c>
      <c r="F104" s="298">
        <v>0.11719738000471913</v>
      </c>
      <c r="G104" s="298">
        <v>9.0950515996728487E-2</v>
      </c>
      <c r="H104" s="298">
        <v>5.6069430808107633E-2</v>
      </c>
      <c r="I104" s="298">
        <v>0.18457651004529252</v>
      </c>
      <c r="J104" s="298">
        <v>0.21861320828195963</v>
      </c>
      <c r="K104" s="298">
        <v>0.14805460867942424</v>
      </c>
      <c r="L104" s="298">
        <v>0.10865726471480185</v>
      </c>
      <c r="M104" s="298">
        <v>8.7921961526698345E-2</v>
      </c>
      <c r="N104" s="298">
        <v>5.8256465500538285E-2</v>
      </c>
      <c r="O104" s="298">
        <v>4.4253058727944716E-2</v>
      </c>
      <c r="P104" s="298">
        <v>3.9509788445304235E-2</v>
      </c>
      <c r="Q104" s="298">
        <v>2.9542651780987427E-2</v>
      </c>
      <c r="R104" s="298">
        <v>2.8071591122090556E-2</v>
      </c>
      <c r="S104" s="298">
        <v>2.8071591122090556E-2</v>
      </c>
      <c r="T104" s="298">
        <v>2.8071591122090556E-2</v>
      </c>
      <c r="U104" s="298">
        <v>2.8071591122090556E-2</v>
      </c>
    </row>
    <row r="105" spans="1:21" ht="14.4" x14ac:dyDescent="0.3">
      <c r="A105" s="43">
        <v>43</v>
      </c>
      <c r="B105" s="43"/>
      <c r="C105" s="1"/>
      <c r="D105" s="298">
        <v>2.2178560512821952</v>
      </c>
      <c r="E105" s="298">
        <v>1.1905972320783262</v>
      </c>
      <c r="F105" s="298">
        <v>0.75615175660327605</v>
      </c>
      <c r="G105" s="298">
        <v>0.45362551647456517</v>
      </c>
      <c r="H105" s="298">
        <v>0.28528173727691464</v>
      </c>
      <c r="I105" s="298">
        <v>0.21779752656057286</v>
      </c>
      <c r="J105" s="298">
        <v>0.25538951981730396</v>
      </c>
      <c r="K105" s="298">
        <v>0.24818871965708805</v>
      </c>
      <c r="L105" s="298">
        <v>0.22308863199724832</v>
      </c>
      <c r="M105" s="298">
        <v>0.19779080449305989</v>
      </c>
      <c r="N105" s="298">
        <v>0.1877023014843526</v>
      </c>
      <c r="O105" s="298">
        <v>0.18024721970812474</v>
      </c>
      <c r="P105" s="298">
        <v>0.14969356494618877</v>
      </c>
      <c r="Q105" s="298">
        <v>0.15402172112964774</v>
      </c>
      <c r="R105" s="298">
        <v>0.14788153997371078</v>
      </c>
      <c r="S105" s="298">
        <v>0.14788153997371078</v>
      </c>
      <c r="T105" s="298">
        <v>0.14788153997371078</v>
      </c>
      <c r="U105" s="298">
        <v>0.14788153997371078</v>
      </c>
    </row>
    <row r="106" spans="1:21" ht="14.4" x14ac:dyDescent="0.3">
      <c r="A106" s="43">
        <v>44</v>
      </c>
      <c r="B106" s="43"/>
      <c r="C106" s="1"/>
      <c r="D106" s="298">
        <v>0.15658261184107439</v>
      </c>
      <c r="E106" s="298">
        <v>6.9206297258360139E-2</v>
      </c>
      <c r="F106" s="298">
        <v>0.11719738000471913</v>
      </c>
      <c r="G106" s="298">
        <v>9.0950515996728487E-2</v>
      </c>
      <c r="H106" s="298">
        <v>5.6069430808107633E-2</v>
      </c>
      <c r="I106" s="298">
        <v>0.18457651004529252</v>
      </c>
      <c r="J106" s="298">
        <v>0.21861320828195963</v>
      </c>
      <c r="K106" s="298">
        <v>0.14805460867942424</v>
      </c>
      <c r="L106" s="298">
        <v>0.10865726471480185</v>
      </c>
      <c r="M106" s="298">
        <v>8.7921961526698345E-2</v>
      </c>
      <c r="N106" s="298">
        <v>5.8256465500538285E-2</v>
      </c>
      <c r="O106" s="298">
        <v>4.4253058727944716E-2</v>
      </c>
      <c r="P106" s="298">
        <v>3.9509788445304235E-2</v>
      </c>
      <c r="Q106" s="298">
        <v>2.9542651780987427E-2</v>
      </c>
      <c r="R106" s="298">
        <v>2.8071591122090556E-2</v>
      </c>
      <c r="S106" s="298">
        <v>2.8071591122090556E-2</v>
      </c>
      <c r="T106" s="298">
        <v>2.8071591122090556E-2</v>
      </c>
      <c r="U106" s="298">
        <v>2.8071591122090556E-2</v>
      </c>
    </row>
    <row r="107" spans="1:21" ht="14.4" x14ac:dyDescent="0.3">
      <c r="A107" s="43">
        <v>45</v>
      </c>
      <c r="B107" s="43"/>
      <c r="C107" s="1"/>
      <c r="D107" s="298">
        <v>0.15674381381219379</v>
      </c>
      <c r="E107" s="298">
        <v>6.9135515452953725E-2</v>
      </c>
      <c r="F107" s="298">
        <v>0.11721931861181524</v>
      </c>
      <c r="G107" s="298">
        <v>9.0976276916425139E-2</v>
      </c>
      <c r="H107" s="298">
        <v>5.5974795488511517E-2</v>
      </c>
      <c r="I107" s="298">
        <v>0.18455139999068912</v>
      </c>
      <c r="J107" s="298">
        <v>0.21866515563030009</v>
      </c>
      <c r="K107" s="298">
        <v>0.14808361462956454</v>
      </c>
      <c r="L107" s="298">
        <v>0.10867252849450271</v>
      </c>
      <c r="M107" s="298">
        <v>8.7932880027034033E-2</v>
      </c>
      <c r="N107" s="298">
        <v>5.8261619608528936E-2</v>
      </c>
      <c r="O107" s="298">
        <v>4.4254803859095013E-2</v>
      </c>
      <c r="P107" s="298">
        <v>3.9511622355493263E-2</v>
      </c>
      <c r="Q107" s="298">
        <v>2.9543012509050892E-2</v>
      </c>
      <c r="R107" s="298">
        <v>2.8071590865564936E-2</v>
      </c>
      <c r="S107" s="298">
        <v>2.8071590865564936E-2</v>
      </c>
      <c r="T107" s="298">
        <v>2.8071590865564936E-2</v>
      </c>
      <c r="U107" s="298">
        <v>2.8071590865564936E-2</v>
      </c>
    </row>
    <row r="108" spans="1:21" ht="14.4" x14ac:dyDescent="0.3">
      <c r="A108" s="43">
        <v>46</v>
      </c>
      <c r="B108" s="43"/>
      <c r="C108" s="1"/>
      <c r="D108" s="298">
        <v>0.15658261184107439</v>
      </c>
      <c r="E108" s="298">
        <v>6.9206297258360139E-2</v>
      </c>
      <c r="F108" s="298">
        <v>0.11719738000471913</v>
      </c>
      <c r="G108" s="298">
        <v>9.0950515996728487E-2</v>
      </c>
      <c r="H108" s="298">
        <v>5.6069430808107633E-2</v>
      </c>
      <c r="I108" s="298">
        <v>0.18457651004529252</v>
      </c>
      <c r="J108" s="298">
        <v>0.21861320828195963</v>
      </c>
      <c r="K108" s="298">
        <v>0.14805460867942424</v>
      </c>
      <c r="L108" s="298">
        <v>0.10865726471480185</v>
      </c>
      <c r="M108" s="298">
        <v>8.7921961526698345E-2</v>
      </c>
      <c r="N108" s="298">
        <v>5.8256465500538285E-2</v>
      </c>
      <c r="O108" s="298">
        <v>4.4253058727944716E-2</v>
      </c>
      <c r="P108" s="298">
        <v>3.9509788445304235E-2</v>
      </c>
      <c r="Q108" s="298">
        <v>2.9542651780987427E-2</v>
      </c>
      <c r="R108" s="298">
        <v>2.8071591122090556E-2</v>
      </c>
      <c r="S108" s="298">
        <v>2.8071591122090556E-2</v>
      </c>
      <c r="T108" s="298">
        <v>2.8071591122090556E-2</v>
      </c>
      <c r="U108" s="298">
        <v>2.8071591122090556E-2</v>
      </c>
    </row>
    <row r="109" spans="1:21" ht="14.4" x14ac:dyDescent="0.3">
      <c r="A109" s="43">
        <v>47</v>
      </c>
      <c r="B109" s="43"/>
      <c r="C109" s="1"/>
      <c r="D109" s="298">
        <v>2.3268630691236321</v>
      </c>
      <c r="E109" s="298">
        <v>0.78641478977548207</v>
      </c>
      <c r="F109" s="298">
        <v>0.65683719239534155</v>
      </c>
      <c r="G109" s="298">
        <v>0.58143321676267457</v>
      </c>
      <c r="H109" s="298">
        <v>0.44928960665019158</v>
      </c>
      <c r="I109" s="298">
        <v>0.41294151992551731</v>
      </c>
      <c r="J109" s="298">
        <v>0.2940568330031525</v>
      </c>
      <c r="K109" s="298">
        <v>0.2786885915405366</v>
      </c>
      <c r="L109" s="298">
        <v>0.26697263616116279</v>
      </c>
      <c r="M109" s="298">
        <v>0.26064585390490097</v>
      </c>
      <c r="N109" s="298">
        <v>0.2367936036530196</v>
      </c>
      <c r="O109" s="298">
        <v>0.19038468562778788</v>
      </c>
      <c r="P109" s="298">
        <v>0.18456070692514012</v>
      </c>
      <c r="Q109" s="298">
        <v>0.16108516476637483</v>
      </c>
      <c r="R109" s="298">
        <v>0.15522073313539117</v>
      </c>
      <c r="S109" s="298">
        <v>0.15522073313539117</v>
      </c>
      <c r="T109" s="298">
        <v>0.15522073313539117</v>
      </c>
      <c r="U109" s="298">
        <v>0.15522073313539117</v>
      </c>
    </row>
    <row r="110" spans="1:21" ht="14.4" x14ac:dyDescent="0.3">
      <c r="A110" s="43">
        <v>48</v>
      </c>
      <c r="B110" s="43"/>
      <c r="C110" s="1"/>
      <c r="D110" s="298">
        <v>0.15658261184107439</v>
      </c>
      <c r="E110" s="298">
        <v>6.9206297258360139E-2</v>
      </c>
      <c r="F110" s="298">
        <v>0.11719738000471913</v>
      </c>
      <c r="G110" s="298">
        <v>9.0950515996728487E-2</v>
      </c>
      <c r="H110" s="298">
        <v>5.6069430808107633E-2</v>
      </c>
      <c r="I110" s="298">
        <v>0.18457651004529252</v>
      </c>
      <c r="J110" s="298">
        <v>0.21861320828195963</v>
      </c>
      <c r="K110" s="298">
        <v>0.14805460867942424</v>
      </c>
      <c r="L110" s="298">
        <v>0.10865726471480185</v>
      </c>
      <c r="M110" s="298">
        <v>8.7921961526698345E-2</v>
      </c>
      <c r="N110" s="298">
        <v>5.8256465500538285E-2</v>
      </c>
      <c r="O110" s="298">
        <v>4.4253058727944716E-2</v>
      </c>
      <c r="P110" s="298">
        <v>3.9509788445304235E-2</v>
      </c>
      <c r="Q110" s="298">
        <v>2.9542651780987427E-2</v>
      </c>
      <c r="R110" s="298">
        <v>2.8071591122090556E-2</v>
      </c>
      <c r="S110" s="298">
        <v>2.8071591122090556E-2</v>
      </c>
      <c r="T110" s="298">
        <v>2.8071591122090556E-2</v>
      </c>
      <c r="U110" s="298">
        <v>2.8071591122090556E-2</v>
      </c>
    </row>
    <row r="111" spans="1:21" ht="14.4" x14ac:dyDescent="0.3">
      <c r="A111" s="43">
        <v>49</v>
      </c>
      <c r="B111" s="43"/>
      <c r="C111" s="1"/>
      <c r="D111" s="298">
        <v>2.222090686942058</v>
      </c>
      <c r="E111" s="298">
        <v>0.8231320290067401</v>
      </c>
      <c r="F111" s="298">
        <v>0.54372728367538525</v>
      </c>
      <c r="G111" s="298">
        <v>0.33388586731319231</v>
      </c>
      <c r="H111" s="298">
        <v>0.20472977887589594</v>
      </c>
      <c r="I111" s="298">
        <v>0.16067909526322774</v>
      </c>
      <c r="J111" s="298">
        <v>0.19635848943192444</v>
      </c>
      <c r="K111" s="298">
        <v>0.18022284651166184</v>
      </c>
      <c r="L111" s="298">
        <v>0.15241194609444156</v>
      </c>
      <c r="M111" s="298">
        <v>0.14568078669873447</v>
      </c>
      <c r="N111" s="298">
        <v>0.14316623416465049</v>
      </c>
      <c r="O111" s="298">
        <v>0.11820986355275069</v>
      </c>
      <c r="P111" s="298">
        <v>0.11324661442841535</v>
      </c>
      <c r="Q111" s="298">
        <v>0.10591950094820782</v>
      </c>
      <c r="R111" s="298">
        <v>0.10181373046970461</v>
      </c>
      <c r="S111" s="298">
        <v>0.10181373046970461</v>
      </c>
      <c r="T111" s="298">
        <v>0.10181373046970461</v>
      </c>
      <c r="U111" s="298">
        <v>0.10181373046970461</v>
      </c>
    </row>
    <row r="112" spans="1:21" ht="14.4" x14ac:dyDescent="0.3">
      <c r="A112" s="43">
        <v>50</v>
      </c>
      <c r="B112" s="43"/>
      <c r="C112" s="1"/>
      <c r="D112" s="298">
        <v>0.15658261184107439</v>
      </c>
      <c r="E112" s="298">
        <v>6.9206297258360139E-2</v>
      </c>
      <c r="F112" s="298">
        <v>0.11719738000471913</v>
      </c>
      <c r="G112" s="298">
        <v>9.0950515996728487E-2</v>
      </c>
      <c r="H112" s="298">
        <v>5.6069430808107633E-2</v>
      </c>
      <c r="I112" s="298">
        <v>0.18457651004529252</v>
      </c>
      <c r="J112" s="298">
        <v>0.21861320828195963</v>
      </c>
      <c r="K112" s="298">
        <v>0.14805460867942424</v>
      </c>
      <c r="L112" s="298">
        <v>0.10865726471480185</v>
      </c>
      <c r="M112" s="298">
        <v>8.7921961526698345E-2</v>
      </c>
      <c r="N112" s="298">
        <v>5.8256465500538285E-2</v>
      </c>
      <c r="O112" s="298">
        <v>4.4253058727944716E-2</v>
      </c>
      <c r="P112" s="298">
        <v>3.9509788445304235E-2</v>
      </c>
      <c r="Q112" s="298">
        <v>2.9542651780987427E-2</v>
      </c>
      <c r="R112" s="298">
        <v>2.8071591122090556E-2</v>
      </c>
      <c r="S112" s="298">
        <v>2.8071591122090556E-2</v>
      </c>
      <c r="T112" s="298">
        <v>2.8071591122090556E-2</v>
      </c>
      <c r="U112" s="298">
        <v>2.8071591122090556E-2</v>
      </c>
    </row>
    <row r="113" spans="2:21" x14ac:dyDescent="0.25">
      <c r="D113" s="51"/>
    </row>
    <row r="114" spans="2:21" x14ac:dyDescent="0.25">
      <c r="B114" s="26" t="s">
        <v>5</v>
      </c>
      <c r="D114" s="32">
        <f t="shared" ref="D114:U114" si="7">SQRT(SUMSQ(D64:D112))</f>
        <v>163.93774717643851</v>
      </c>
      <c r="E114" s="32">
        <f t="shared" si="7"/>
        <v>113.48802501155089</v>
      </c>
      <c r="F114" s="32">
        <f t="shared" si="7"/>
        <v>92.201479834948017</v>
      </c>
      <c r="G114" s="32">
        <f t="shared" si="7"/>
        <v>70.914070764570482</v>
      </c>
      <c r="H114" s="32">
        <f t="shared" si="7"/>
        <v>54.750054571794223</v>
      </c>
      <c r="I114" s="32">
        <f t="shared" si="7"/>
        <v>45.409107972180678</v>
      </c>
      <c r="J114" s="32">
        <f t="shared" si="7"/>
        <v>40.452846599409661</v>
      </c>
      <c r="K114" s="32">
        <f t="shared" si="7"/>
        <v>36.567604373048553</v>
      </c>
      <c r="L114" s="32">
        <f t="shared" si="7"/>
        <v>33.722497172696237</v>
      </c>
      <c r="M114" s="32">
        <f t="shared" si="7"/>
        <v>31.537820676686238</v>
      </c>
      <c r="N114" s="32">
        <f t="shared" si="7"/>
        <v>28.353599859458789</v>
      </c>
      <c r="O114" s="32">
        <f t="shared" si="7"/>
        <v>26.003967172553079</v>
      </c>
      <c r="P114" s="32">
        <f t="shared" si="7"/>
        <v>24.160245237926446</v>
      </c>
      <c r="Q114" s="32">
        <f t="shared" si="7"/>
        <v>21.249690073067327</v>
      </c>
      <c r="R114" s="32">
        <f t="shared" si="7"/>
        <v>21.247242746791578</v>
      </c>
      <c r="S114" s="32">
        <f t="shared" si="7"/>
        <v>21.247242746791578</v>
      </c>
      <c r="T114" s="32">
        <f t="shared" si="7"/>
        <v>21.247242746791578</v>
      </c>
      <c r="U114" s="32">
        <f t="shared" si="7"/>
        <v>21.247242746791578</v>
      </c>
    </row>
    <row r="116" spans="2:21" x14ac:dyDescent="0.25">
      <c r="D116" s="32"/>
      <c r="E116" s="32"/>
      <c r="F116" s="32"/>
      <c r="G116" s="32"/>
      <c r="H116" s="32"/>
      <c r="I116" s="32"/>
    </row>
    <row r="118" spans="2:21" x14ac:dyDescent="0.25">
      <c r="D118" s="32"/>
      <c r="E118" s="32"/>
      <c r="F118" s="32"/>
      <c r="G118" s="32"/>
      <c r="H118" s="32"/>
      <c r="I118" s="32"/>
    </row>
  </sheetData>
  <pageMargins left="0.75" right="0.75" top="1" bottom="1" header="0.5" footer="0.5"/>
  <pageSetup scale="86" fitToWidth="2" fitToHeight="2" orientation="portrait" r:id="rId1"/>
  <headerFooter alignWithMargins="0">
    <oddHeader>&amp;R&amp;D
&amp;T
rh</oddHeader>
    <oddFooter>&amp;L&amp;F
&amp;A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U118"/>
  <sheetViews>
    <sheetView workbookViewId="0"/>
  </sheetViews>
  <sheetFormatPr defaultRowHeight="13.2" x14ac:dyDescent="0.25"/>
  <cols>
    <col min="1" max="6" width="9.109375" style="26"/>
    <col min="7" max="7" width="9.109375" style="26" customWidth="1"/>
    <col min="8" max="8" width="10.6640625" style="26" customWidth="1"/>
    <col min="9" max="262" width="9.109375" style="26"/>
    <col min="263" max="263" width="9.5546875" style="26" bestFit="1" customWidth="1"/>
    <col min="264" max="264" width="10.6640625" style="26" customWidth="1"/>
    <col min="265" max="518" width="9.109375" style="26"/>
    <col min="519" max="519" width="9.5546875" style="26" bestFit="1" customWidth="1"/>
    <col min="520" max="520" width="10.6640625" style="26" customWidth="1"/>
    <col min="521" max="774" width="9.109375" style="26"/>
    <col min="775" max="775" width="9.5546875" style="26" bestFit="1" customWidth="1"/>
    <col min="776" max="776" width="10.6640625" style="26" customWidth="1"/>
    <col min="777" max="1030" width="9.109375" style="26"/>
    <col min="1031" max="1031" width="9.5546875" style="26" bestFit="1" customWidth="1"/>
    <col min="1032" max="1032" width="10.6640625" style="26" customWidth="1"/>
    <col min="1033" max="1286" width="9.109375" style="26"/>
    <col min="1287" max="1287" width="9.5546875" style="26" bestFit="1" customWidth="1"/>
    <col min="1288" max="1288" width="10.6640625" style="26" customWidth="1"/>
    <col min="1289" max="1542" width="9.109375" style="26"/>
    <col min="1543" max="1543" width="9.5546875" style="26" bestFit="1" customWidth="1"/>
    <col min="1544" max="1544" width="10.6640625" style="26" customWidth="1"/>
    <col min="1545" max="1798" width="9.109375" style="26"/>
    <col min="1799" max="1799" width="9.5546875" style="26" bestFit="1" customWidth="1"/>
    <col min="1800" max="1800" width="10.6640625" style="26" customWidth="1"/>
    <col min="1801" max="2054" width="9.109375" style="26"/>
    <col min="2055" max="2055" width="9.5546875" style="26" bestFit="1" customWidth="1"/>
    <col min="2056" max="2056" width="10.6640625" style="26" customWidth="1"/>
    <col min="2057" max="2310" width="9.109375" style="26"/>
    <col min="2311" max="2311" width="9.5546875" style="26" bestFit="1" customWidth="1"/>
    <col min="2312" max="2312" width="10.6640625" style="26" customWidth="1"/>
    <col min="2313" max="2566" width="9.109375" style="26"/>
    <col min="2567" max="2567" width="9.5546875" style="26" bestFit="1" customWidth="1"/>
    <col min="2568" max="2568" width="10.6640625" style="26" customWidth="1"/>
    <col min="2569" max="2822" width="9.109375" style="26"/>
    <col min="2823" max="2823" width="9.5546875" style="26" bestFit="1" customWidth="1"/>
    <col min="2824" max="2824" width="10.6640625" style="26" customWidth="1"/>
    <col min="2825" max="3078" width="9.109375" style="26"/>
    <col min="3079" max="3079" width="9.5546875" style="26" bestFit="1" customWidth="1"/>
    <col min="3080" max="3080" width="10.6640625" style="26" customWidth="1"/>
    <col min="3081" max="3334" width="9.109375" style="26"/>
    <col min="3335" max="3335" width="9.5546875" style="26" bestFit="1" customWidth="1"/>
    <col min="3336" max="3336" width="10.6640625" style="26" customWidth="1"/>
    <col min="3337" max="3590" width="9.109375" style="26"/>
    <col min="3591" max="3591" width="9.5546875" style="26" bestFit="1" customWidth="1"/>
    <col min="3592" max="3592" width="10.6640625" style="26" customWidth="1"/>
    <col min="3593" max="3846" width="9.109375" style="26"/>
    <col min="3847" max="3847" width="9.5546875" style="26" bestFit="1" customWidth="1"/>
    <col min="3848" max="3848" width="10.6640625" style="26" customWidth="1"/>
    <col min="3849" max="4102" width="9.109375" style="26"/>
    <col min="4103" max="4103" width="9.5546875" style="26" bestFit="1" customWidth="1"/>
    <col min="4104" max="4104" width="10.6640625" style="26" customWidth="1"/>
    <col min="4105" max="4358" width="9.109375" style="26"/>
    <col min="4359" max="4359" width="9.5546875" style="26" bestFit="1" customWidth="1"/>
    <col min="4360" max="4360" width="10.6640625" style="26" customWidth="1"/>
    <col min="4361" max="4614" width="9.109375" style="26"/>
    <col min="4615" max="4615" width="9.5546875" style="26" bestFit="1" customWidth="1"/>
    <col min="4616" max="4616" width="10.6640625" style="26" customWidth="1"/>
    <col min="4617" max="4870" width="9.109375" style="26"/>
    <col min="4871" max="4871" width="9.5546875" style="26" bestFit="1" customWidth="1"/>
    <col min="4872" max="4872" width="10.6640625" style="26" customWidth="1"/>
    <col min="4873" max="5126" width="9.109375" style="26"/>
    <col min="5127" max="5127" width="9.5546875" style="26" bestFit="1" customWidth="1"/>
    <col min="5128" max="5128" width="10.6640625" style="26" customWidth="1"/>
    <col min="5129" max="5382" width="9.109375" style="26"/>
    <col min="5383" max="5383" width="9.5546875" style="26" bestFit="1" customWidth="1"/>
    <col min="5384" max="5384" width="10.6640625" style="26" customWidth="1"/>
    <col min="5385" max="5638" width="9.109375" style="26"/>
    <col min="5639" max="5639" width="9.5546875" style="26" bestFit="1" customWidth="1"/>
    <col min="5640" max="5640" width="10.6640625" style="26" customWidth="1"/>
    <col min="5641" max="5894" width="9.109375" style="26"/>
    <col min="5895" max="5895" width="9.5546875" style="26" bestFit="1" customWidth="1"/>
    <col min="5896" max="5896" width="10.6640625" style="26" customWidth="1"/>
    <col min="5897" max="6150" width="9.109375" style="26"/>
    <col min="6151" max="6151" width="9.5546875" style="26" bestFit="1" customWidth="1"/>
    <col min="6152" max="6152" width="10.6640625" style="26" customWidth="1"/>
    <col min="6153" max="6406" width="9.109375" style="26"/>
    <col min="6407" max="6407" width="9.5546875" style="26" bestFit="1" customWidth="1"/>
    <col min="6408" max="6408" width="10.6640625" style="26" customWidth="1"/>
    <col min="6409" max="6662" width="9.109375" style="26"/>
    <col min="6663" max="6663" width="9.5546875" style="26" bestFit="1" customWidth="1"/>
    <col min="6664" max="6664" width="10.6640625" style="26" customWidth="1"/>
    <col min="6665" max="6918" width="9.109375" style="26"/>
    <col min="6919" max="6919" width="9.5546875" style="26" bestFit="1" customWidth="1"/>
    <col min="6920" max="6920" width="10.6640625" style="26" customWidth="1"/>
    <col min="6921" max="7174" width="9.109375" style="26"/>
    <col min="7175" max="7175" width="9.5546875" style="26" bestFit="1" customWidth="1"/>
    <col min="7176" max="7176" width="10.6640625" style="26" customWidth="1"/>
    <col min="7177" max="7430" width="9.109375" style="26"/>
    <col min="7431" max="7431" width="9.5546875" style="26" bestFit="1" customWidth="1"/>
    <col min="7432" max="7432" width="10.6640625" style="26" customWidth="1"/>
    <col min="7433" max="7686" width="9.109375" style="26"/>
    <col min="7687" max="7687" width="9.5546875" style="26" bestFit="1" customWidth="1"/>
    <col min="7688" max="7688" width="10.6640625" style="26" customWidth="1"/>
    <col min="7689" max="7942" width="9.109375" style="26"/>
    <col min="7943" max="7943" width="9.5546875" style="26" bestFit="1" customWidth="1"/>
    <col min="7944" max="7944" width="10.6640625" style="26" customWidth="1"/>
    <col min="7945" max="8198" width="9.109375" style="26"/>
    <col min="8199" max="8199" width="9.5546875" style="26" bestFit="1" customWidth="1"/>
    <col min="8200" max="8200" width="10.6640625" style="26" customWidth="1"/>
    <col min="8201" max="8454" width="9.109375" style="26"/>
    <col min="8455" max="8455" width="9.5546875" style="26" bestFit="1" customWidth="1"/>
    <col min="8456" max="8456" width="10.6640625" style="26" customWidth="1"/>
    <col min="8457" max="8710" width="9.109375" style="26"/>
    <col min="8711" max="8711" width="9.5546875" style="26" bestFit="1" customWidth="1"/>
    <col min="8712" max="8712" width="10.6640625" style="26" customWidth="1"/>
    <col min="8713" max="8966" width="9.109375" style="26"/>
    <col min="8967" max="8967" width="9.5546875" style="26" bestFit="1" customWidth="1"/>
    <col min="8968" max="8968" width="10.6640625" style="26" customWidth="1"/>
    <col min="8969" max="9222" width="9.109375" style="26"/>
    <col min="9223" max="9223" width="9.5546875" style="26" bestFit="1" customWidth="1"/>
    <col min="9224" max="9224" width="10.6640625" style="26" customWidth="1"/>
    <col min="9225" max="9478" width="9.109375" style="26"/>
    <col min="9479" max="9479" width="9.5546875" style="26" bestFit="1" customWidth="1"/>
    <col min="9480" max="9480" width="10.6640625" style="26" customWidth="1"/>
    <col min="9481" max="9734" width="9.109375" style="26"/>
    <col min="9735" max="9735" width="9.5546875" style="26" bestFit="1" customWidth="1"/>
    <col min="9736" max="9736" width="10.6640625" style="26" customWidth="1"/>
    <col min="9737" max="9990" width="9.109375" style="26"/>
    <col min="9991" max="9991" width="9.5546875" style="26" bestFit="1" customWidth="1"/>
    <col min="9992" max="9992" width="10.6640625" style="26" customWidth="1"/>
    <col min="9993" max="10246" width="9.109375" style="26"/>
    <col min="10247" max="10247" width="9.5546875" style="26" bestFit="1" customWidth="1"/>
    <col min="10248" max="10248" width="10.6640625" style="26" customWidth="1"/>
    <col min="10249" max="10502" width="9.109375" style="26"/>
    <col min="10503" max="10503" width="9.5546875" style="26" bestFit="1" customWidth="1"/>
    <col min="10504" max="10504" width="10.6640625" style="26" customWidth="1"/>
    <col min="10505" max="10758" width="9.109375" style="26"/>
    <col min="10759" max="10759" width="9.5546875" style="26" bestFit="1" customWidth="1"/>
    <col min="10760" max="10760" width="10.6640625" style="26" customWidth="1"/>
    <col min="10761" max="11014" width="9.109375" style="26"/>
    <col min="11015" max="11015" width="9.5546875" style="26" bestFit="1" customWidth="1"/>
    <col min="11016" max="11016" width="10.6640625" style="26" customWidth="1"/>
    <col min="11017" max="11270" width="9.109375" style="26"/>
    <col min="11271" max="11271" width="9.5546875" style="26" bestFit="1" customWidth="1"/>
    <col min="11272" max="11272" width="10.6640625" style="26" customWidth="1"/>
    <col min="11273" max="11526" width="9.109375" style="26"/>
    <col min="11527" max="11527" width="9.5546875" style="26" bestFit="1" customWidth="1"/>
    <col min="11528" max="11528" width="10.6640625" style="26" customWidth="1"/>
    <col min="11529" max="11782" width="9.109375" style="26"/>
    <col min="11783" max="11783" width="9.5546875" style="26" bestFit="1" customWidth="1"/>
    <col min="11784" max="11784" width="10.6640625" style="26" customWidth="1"/>
    <col min="11785" max="12038" width="9.109375" style="26"/>
    <col min="12039" max="12039" width="9.5546875" style="26" bestFit="1" customWidth="1"/>
    <col min="12040" max="12040" width="10.6640625" style="26" customWidth="1"/>
    <col min="12041" max="12294" width="9.109375" style="26"/>
    <col min="12295" max="12295" width="9.5546875" style="26" bestFit="1" customWidth="1"/>
    <col min="12296" max="12296" width="10.6640625" style="26" customWidth="1"/>
    <col min="12297" max="12550" width="9.109375" style="26"/>
    <col min="12551" max="12551" width="9.5546875" style="26" bestFit="1" customWidth="1"/>
    <col min="12552" max="12552" width="10.6640625" style="26" customWidth="1"/>
    <col min="12553" max="12806" width="9.109375" style="26"/>
    <col min="12807" max="12807" width="9.5546875" style="26" bestFit="1" customWidth="1"/>
    <col min="12808" max="12808" width="10.6640625" style="26" customWidth="1"/>
    <col min="12809" max="13062" width="9.109375" style="26"/>
    <col min="13063" max="13063" width="9.5546875" style="26" bestFit="1" customWidth="1"/>
    <col min="13064" max="13064" width="10.6640625" style="26" customWidth="1"/>
    <col min="13065" max="13318" width="9.109375" style="26"/>
    <col min="13319" max="13319" width="9.5546875" style="26" bestFit="1" customWidth="1"/>
    <col min="13320" max="13320" width="10.6640625" style="26" customWidth="1"/>
    <col min="13321" max="13574" width="9.109375" style="26"/>
    <col min="13575" max="13575" width="9.5546875" style="26" bestFit="1" customWidth="1"/>
    <col min="13576" max="13576" width="10.6640625" style="26" customWidth="1"/>
    <col min="13577" max="13830" width="9.109375" style="26"/>
    <col min="13831" max="13831" width="9.5546875" style="26" bestFit="1" customWidth="1"/>
    <col min="13832" max="13832" width="10.6640625" style="26" customWidth="1"/>
    <col min="13833" max="14086" width="9.109375" style="26"/>
    <col min="14087" max="14087" width="9.5546875" style="26" bestFit="1" customWidth="1"/>
    <col min="14088" max="14088" width="10.6640625" style="26" customWidth="1"/>
    <col min="14089" max="14342" width="9.109375" style="26"/>
    <col min="14343" max="14343" width="9.5546875" style="26" bestFit="1" customWidth="1"/>
    <col min="14344" max="14344" width="10.6640625" style="26" customWidth="1"/>
    <col min="14345" max="14598" width="9.109375" style="26"/>
    <col min="14599" max="14599" width="9.5546875" style="26" bestFit="1" customWidth="1"/>
    <col min="14600" max="14600" width="10.6640625" style="26" customWidth="1"/>
    <col min="14601" max="14854" width="9.109375" style="26"/>
    <col min="14855" max="14855" width="9.5546875" style="26" bestFit="1" customWidth="1"/>
    <col min="14856" max="14856" width="10.6640625" style="26" customWidth="1"/>
    <col min="14857" max="15110" width="9.109375" style="26"/>
    <col min="15111" max="15111" width="9.5546875" style="26" bestFit="1" customWidth="1"/>
    <col min="15112" max="15112" width="10.6640625" style="26" customWidth="1"/>
    <col min="15113" max="15366" width="9.109375" style="26"/>
    <col min="15367" max="15367" width="9.5546875" style="26" bestFit="1" customWidth="1"/>
    <col min="15368" max="15368" width="10.6640625" style="26" customWidth="1"/>
    <col min="15369" max="15622" width="9.109375" style="26"/>
    <col min="15623" max="15623" width="9.5546875" style="26" bestFit="1" customWidth="1"/>
    <col min="15624" max="15624" width="10.6640625" style="26" customWidth="1"/>
    <col min="15625" max="15878" width="9.109375" style="26"/>
    <col min="15879" max="15879" width="9.5546875" style="26" bestFit="1" customWidth="1"/>
    <col min="15880" max="15880" width="10.6640625" style="26" customWidth="1"/>
    <col min="15881" max="16134" width="9.109375" style="26"/>
    <col min="16135" max="16135" width="9.5546875" style="26" bestFit="1" customWidth="1"/>
    <col min="16136" max="16136" width="10.6640625" style="26" customWidth="1"/>
    <col min="16137" max="16384" width="9.109375" style="26"/>
  </cols>
  <sheetData>
    <row r="1" spans="1:15" ht="13.8" thickBot="1" x14ac:dyDescent="0.3">
      <c r="A1" s="84" t="s">
        <v>291</v>
      </c>
      <c r="B1" s="275" t="s">
        <v>402</v>
      </c>
      <c r="C1" s="33">
        <f>Drives!BA34</f>
        <v>38490.017945975058</v>
      </c>
      <c r="D1" s="28" t="s">
        <v>7</v>
      </c>
      <c r="E1" s="300">
        <v>10</v>
      </c>
      <c r="F1" s="301">
        <f>MAX(0.1,E1+100/C1)</f>
        <v>10.002598076211353</v>
      </c>
      <c r="G1" s="36" t="s">
        <v>1</v>
      </c>
      <c r="H1" s="29">
        <f>IF(J1=0,0,H4/J1)</f>
        <v>0</v>
      </c>
      <c r="I1" s="54" t="s">
        <v>94</v>
      </c>
      <c r="J1" s="34">
        <f>Drives!Z34</f>
        <v>0</v>
      </c>
      <c r="K1" s="26" t="s">
        <v>84</v>
      </c>
      <c r="N1" s="254">
        <v>0.95</v>
      </c>
      <c r="O1" s="26" t="s">
        <v>176</v>
      </c>
    </row>
    <row r="2" spans="1:15" x14ac:dyDescent="0.25">
      <c r="A2" s="269" t="s">
        <v>88</v>
      </c>
      <c r="B2" s="276">
        <v>34</v>
      </c>
      <c r="D2" s="26">
        <f>C4+1</f>
        <v>11</v>
      </c>
      <c r="E2" s="41">
        <f>F1-C3</f>
        <v>2.5980762113526623E-3</v>
      </c>
      <c r="F2" s="36"/>
      <c r="G2" s="36"/>
      <c r="J2" s="29">
        <f>IF(J1&gt;=0.6, 0.7+(J1-0.6)*0.75, IF(J1&gt;=0.2, 0.3+(J1-0.2)*1, J1*1.5))</f>
        <v>0</v>
      </c>
      <c r="K2" s="26" t="s">
        <v>60</v>
      </c>
    </row>
    <row r="3" spans="1:15" ht="13.8" thickBot="1" x14ac:dyDescent="0.3">
      <c r="A3" s="270" t="s">
        <v>91</v>
      </c>
      <c r="C3" s="41">
        <f>HLOOKUP($F$1,$D$62:$U$113,(B3+1))</f>
        <v>10</v>
      </c>
      <c r="D3" s="41">
        <f>HLOOKUP($D$2,$D$61:$U$113,(B3+2))</f>
        <v>12</v>
      </c>
      <c r="E3" s="26">
        <f>D3-C3</f>
        <v>2</v>
      </c>
      <c r="F3" s="26">
        <f>IF(E3=0,1,E2/E3)</f>
        <v>1.2990381056763312E-3</v>
      </c>
      <c r="G3" s="32">
        <f>C3+(E3*F3)</f>
        <v>10.002598076211353</v>
      </c>
      <c r="J3" s="31"/>
    </row>
    <row r="4" spans="1:15" ht="13.8" thickBot="1" x14ac:dyDescent="0.3">
      <c r="A4" s="31" t="s">
        <v>90</v>
      </c>
      <c r="B4" s="26">
        <v>1</v>
      </c>
      <c r="C4" s="302">
        <f t="shared" ref="C4:C53" si="0">HLOOKUP($F$1,$D$62:$U$113,(B4+1))</f>
        <v>10</v>
      </c>
      <c r="D4" s="302">
        <f t="shared" ref="D4:D53" si="1">HLOOKUP($D$2,$D$61:$U$113,(B4+2))</f>
        <v>11</v>
      </c>
      <c r="G4" s="27">
        <v>100</v>
      </c>
      <c r="H4" s="34">
        <f>Drives!AR34</f>
        <v>0</v>
      </c>
      <c r="I4" s="26" t="s">
        <v>53</v>
      </c>
    </row>
    <row r="5" spans="1:15" x14ac:dyDescent="0.25">
      <c r="A5" s="31"/>
      <c r="B5" s="26">
        <v>2</v>
      </c>
      <c r="C5" s="52">
        <f t="shared" si="0"/>
        <v>2.636287592484499E-2</v>
      </c>
      <c r="D5" s="52">
        <f t="shared" si="1"/>
        <v>3.9068771982494086E-3</v>
      </c>
      <c r="E5" s="48">
        <f t="shared" ref="E5:E53" si="2">D5-C5</f>
        <v>-2.245599872659558E-2</v>
      </c>
      <c r="F5" s="48">
        <f t="shared" ref="F5:F53" si="3">E5*$F$3</f>
        <v>-2.9171198046866828E-5</v>
      </c>
      <c r="G5" s="48">
        <f t="shared" ref="G5:G53" si="4">C5+F5</f>
        <v>2.6333704726798121E-2</v>
      </c>
      <c r="H5" s="30">
        <f>J$2*G5*$H$1/100</f>
        <v>0</v>
      </c>
    </row>
    <row r="6" spans="1:15" x14ac:dyDescent="0.25">
      <c r="A6" s="270" t="s">
        <v>406</v>
      </c>
      <c r="B6" s="26">
        <v>3</v>
      </c>
      <c r="C6" s="52">
        <f t="shared" si="0"/>
        <v>1.976424393859703</v>
      </c>
      <c r="D6" s="52">
        <f t="shared" si="1"/>
        <v>1.512989131711088</v>
      </c>
      <c r="E6" s="48">
        <f t="shared" si="2"/>
        <v>-0.46343526214861508</v>
      </c>
      <c r="F6" s="48">
        <f t="shared" si="3"/>
        <v>-6.0202006504515089E-4</v>
      </c>
      <c r="G6" s="48">
        <f t="shared" si="4"/>
        <v>1.9758223737946579</v>
      </c>
      <c r="H6" s="30">
        <f t="shared" ref="H6:H53" si="5">J$2*G6*$H$1/100</f>
        <v>0</v>
      </c>
    </row>
    <row r="7" spans="1:15" x14ac:dyDescent="0.25">
      <c r="A7" s="270" t="s">
        <v>92</v>
      </c>
      <c r="B7" s="26">
        <v>4</v>
      </c>
      <c r="C7" s="52">
        <f t="shared" si="0"/>
        <v>3.4977738354405041E-3</v>
      </c>
      <c r="D7" s="52">
        <f t="shared" si="1"/>
        <v>3.318391374383355E-3</v>
      </c>
      <c r="E7" s="48">
        <f t="shared" si="2"/>
        <v>-1.7938246105714912E-4</v>
      </c>
      <c r="F7" s="48">
        <f t="shared" si="3"/>
        <v>-2.3302465240323725E-7</v>
      </c>
      <c r="G7" s="48">
        <f t="shared" si="4"/>
        <v>3.4975408107881011E-3</v>
      </c>
      <c r="H7" s="30">
        <f t="shared" si="5"/>
        <v>0</v>
      </c>
    </row>
    <row r="8" spans="1:15" x14ac:dyDescent="0.25">
      <c r="A8" s="50"/>
      <c r="B8" s="26">
        <v>5</v>
      </c>
      <c r="C8" s="52">
        <f t="shared" si="0"/>
        <v>26.829447444032468</v>
      </c>
      <c r="D8" s="52">
        <f t="shared" si="1"/>
        <v>24.524377947577921</v>
      </c>
      <c r="E8" s="48">
        <f t="shared" si="2"/>
        <v>-2.3050694964545464</v>
      </c>
      <c r="F8" s="48">
        <f t="shared" si="3"/>
        <v>-2.9943731121266086E-3</v>
      </c>
      <c r="G8" s="48">
        <f t="shared" si="4"/>
        <v>26.826453070920341</v>
      </c>
      <c r="H8" s="30">
        <f t="shared" si="5"/>
        <v>0</v>
      </c>
    </row>
    <row r="9" spans="1:15" x14ac:dyDescent="0.25">
      <c r="A9" s="50"/>
      <c r="B9" s="26">
        <v>6</v>
      </c>
      <c r="C9" s="52">
        <f t="shared" si="0"/>
        <v>4.9368015428742544E-3</v>
      </c>
      <c r="D9" s="52">
        <f t="shared" si="1"/>
        <v>2.1005572354824645E-3</v>
      </c>
      <c r="E9" s="48">
        <f t="shared" si="2"/>
        <v>-2.8362443073917899E-3</v>
      </c>
      <c r="F9" s="48">
        <f t="shared" si="3"/>
        <v>-3.6843894323095088E-6</v>
      </c>
      <c r="G9" s="48">
        <f t="shared" si="4"/>
        <v>4.9331171534419448E-3</v>
      </c>
      <c r="H9" s="30">
        <f t="shared" si="5"/>
        <v>0</v>
      </c>
    </row>
    <row r="10" spans="1:15" x14ac:dyDescent="0.25">
      <c r="B10" s="26">
        <v>7</v>
      </c>
      <c r="C10" s="52">
        <f t="shared" si="0"/>
        <v>6.5166708279323533</v>
      </c>
      <c r="D10" s="52">
        <f t="shared" si="1"/>
        <v>6.6273860488121423</v>
      </c>
      <c r="E10" s="48">
        <f t="shared" si="2"/>
        <v>0.11071522087978902</v>
      </c>
      <c r="F10" s="48">
        <f t="shared" si="3"/>
        <v>1.4382329080121772E-4</v>
      </c>
      <c r="G10" s="48">
        <f t="shared" si="4"/>
        <v>6.5168146512231546</v>
      </c>
      <c r="H10" s="30">
        <f t="shared" si="5"/>
        <v>0</v>
      </c>
    </row>
    <row r="11" spans="1:15" x14ac:dyDescent="0.25">
      <c r="B11" s="26">
        <v>8</v>
      </c>
      <c r="C11" s="52">
        <f t="shared" si="0"/>
        <v>2.5415807506222721E-3</v>
      </c>
      <c r="D11" s="52">
        <f t="shared" si="1"/>
        <v>1.2216655309818655E-3</v>
      </c>
      <c r="E11" s="48">
        <f t="shared" si="2"/>
        <v>-1.3199152196404066E-3</v>
      </c>
      <c r="F11" s="48">
        <f t="shared" si="3"/>
        <v>-1.7146201665750324E-6</v>
      </c>
      <c r="G11" s="48">
        <f t="shared" si="4"/>
        <v>2.539866130455697E-3</v>
      </c>
      <c r="H11" s="30">
        <f t="shared" si="5"/>
        <v>0</v>
      </c>
    </row>
    <row r="12" spans="1:15" x14ac:dyDescent="0.25">
      <c r="B12" s="26">
        <v>9</v>
      </c>
      <c r="C12" s="52">
        <f t="shared" si="0"/>
        <v>0.31868142208094846</v>
      </c>
      <c r="D12" s="52">
        <f t="shared" si="1"/>
        <v>0.22626624756676589</v>
      </c>
      <c r="E12" s="48">
        <f t="shared" si="2"/>
        <v>-9.2415174514182574E-2</v>
      </c>
      <c r="F12" s="48">
        <f t="shared" si="3"/>
        <v>-1.2005083323665128E-4</v>
      </c>
      <c r="G12" s="48">
        <f t="shared" si="4"/>
        <v>0.31856137124771183</v>
      </c>
      <c r="H12" s="30">
        <f t="shared" si="5"/>
        <v>0</v>
      </c>
    </row>
    <row r="13" spans="1:15" x14ac:dyDescent="0.25">
      <c r="B13" s="26">
        <v>10</v>
      </c>
      <c r="C13" s="52">
        <f t="shared" si="0"/>
        <v>5.9000829249238182E-3</v>
      </c>
      <c r="D13" s="52">
        <f t="shared" si="1"/>
        <v>2.8410236973985879E-3</v>
      </c>
      <c r="E13" s="48">
        <f t="shared" si="2"/>
        <v>-3.0590592275252303E-3</v>
      </c>
      <c r="F13" s="48">
        <f t="shared" si="3"/>
        <v>-3.973834504076076E-6</v>
      </c>
      <c r="G13" s="48">
        <f t="shared" si="4"/>
        <v>5.8961090904197421E-3</v>
      </c>
      <c r="H13" s="30">
        <f t="shared" si="5"/>
        <v>0</v>
      </c>
    </row>
    <row r="14" spans="1:15" x14ac:dyDescent="0.25">
      <c r="B14" s="26">
        <v>11</v>
      </c>
      <c r="C14" s="52">
        <f t="shared" si="0"/>
        <v>4.7731220793376856</v>
      </c>
      <c r="D14" s="52">
        <f t="shared" si="1"/>
        <v>4.037747204995374</v>
      </c>
      <c r="E14" s="48">
        <f t="shared" si="2"/>
        <v>-0.73537487434231164</v>
      </c>
      <c r="F14" s="48">
        <f t="shared" si="3"/>
        <v>-9.552799837276066E-4</v>
      </c>
      <c r="G14" s="48">
        <f t="shared" si="4"/>
        <v>4.7721667993539576</v>
      </c>
      <c r="H14" s="30">
        <f t="shared" si="5"/>
        <v>0</v>
      </c>
    </row>
    <row r="15" spans="1:15" x14ac:dyDescent="0.25">
      <c r="B15" s="26">
        <v>12</v>
      </c>
      <c r="C15" s="52">
        <f t="shared" si="0"/>
        <v>3.3387817150023614E-3</v>
      </c>
      <c r="D15" s="52">
        <f t="shared" si="1"/>
        <v>7.0415228820549169E-4</v>
      </c>
      <c r="E15" s="48">
        <f t="shared" si="2"/>
        <v>-2.6346294267968699E-3</v>
      </c>
      <c r="F15" s="48">
        <f t="shared" si="3"/>
        <v>-3.4224840197453242E-6</v>
      </c>
      <c r="G15" s="48">
        <f t="shared" si="4"/>
        <v>3.3353592309826163E-3</v>
      </c>
      <c r="H15" s="30">
        <f t="shared" si="5"/>
        <v>0</v>
      </c>
    </row>
    <row r="16" spans="1:15" x14ac:dyDescent="0.25">
      <c r="B16" s="26">
        <v>13</v>
      </c>
      <c r="C16" s="52">
        <f t="shared" si="0"/>
        <v>2.9413990501469054</v>
      </c>
      <c r="D16" s="52">
        <f t="shared" si="1"/>
        <v>2.6891381919916104</v>
      </c>
      <c r="E16" s="48">
        <f t="shared" si="2"/>
        <v>-0.25226085815529498</v>
      </c>
      <c r="F16" s="48">
        <f t="shared" si="3"/>
        <v>-3.2769646731434004E-4</v>
      </c>
      <c r="G16" s="48">
        <f t="shared" si="4"/>
        <v>2.9410713536795909</v>
      </c>
      <c r="H16" s="30">
        <f t="shared" si="5"/>
        <v>0</v>
      </c>
    </row>
    <row r="17" spans="2:8" x14ac:dyDescent="0.25">
      <c r="B17" s="26">
        <v>14</v>
      </c>
      <c r="C17" s="52">
        <f t="shared" si="0"/>
        <v>6.0541163970223889E-3</v>
      </c>
      <c r="D17" s="52">
        <f t="shared" si="1"/>
        <v>8.8566143641728831E-4</v>
      </c>
      <c r="E17" s="48">
        <f t="shared" si="2"/>
        <v>-5.1684549606051009E-3</v>
      </c>
      <c r="F17" s="48">
        <f t="shared" si="3"/>
        <v>-6.7140199412978869E-6</v>
      </c>
      <c r="G17" s="48">
        <f t="shared" si="4"/>
        <v>6.0474023770810906E-3</v>
      </c>
      <c r="H17" s="30">
        <f t="shared" si="5"/>
        <v>0</v>
      </c>
    </row>
    <row r="18" spans="2:8" x14ac:dyDescent="0.25">
      <c r="B18" s="26">
        <v>15</v>
      </c>
      <c r="C18" s="52">
        <f t="shared" si="0"/>
        <v>0.17863761703347875</v>
      </c>
      <c r="D18" s="52">
        <f t="shared" si="1"/>
        <v>0.15238590146764369</v>
      </c>
      <c r="E18" s="48">
        <f t="shared" si="2"/>
        <v>-2.6251715565835054E-2</v>
      </c>
      <c r="F18" s="48">
        <f t="shared" si="3"/>
        <v>-3.4101978859396226E-5</v>
      </c>
      <c r="G18" s="48">
        <f t="shared" si="4"/>
        <v>0.17860351505461936</v>
      </c>
      <c r="H18" s="30">
        <f t="shared" si="5"/>
        <v>0</v>
      </c>
    </row>
    <row r="19" spans="2:8" x14ac:dyDescent="0.25">
      <c r="B19" s="26">
        <v>16</v>
      </c>
      <c r="C19" s="52">
        <f t="shared" si="0"/>
        <v>1.5412362332936629E-3</v>
      </c>
      <c r="D19" s="52">
        <f t="shared" si="1"/>
        <v>1.7707278526791228E-3</v>
      </c>
      <c r="E19" s="48">
        <f t="shared" si="2"/>
        <v>2.2949161938545987E-4</v>
      </c>
      <c r="F19" s="48">
        <f t="shared" si="3"/>
        <v>2.9811835851508137E-7</v>
      </c>
      <c r="G19" s="48">
        <f t="shared" si="4"/>
        <v>1.5415343516521781E-3</v>
      </c>
      <c r="H19" s="30">
        <f t="shared" si="5"/>
        <v>0</v>
      </c>
    </row>
    <row r="20" spans="2:8" x14ac:dyDescent="0.25">
      <c r="B20" s="26">
        <v>17</v>
      </c>
      <c r="C20" s="52">
        <f t="shared" si="0"/>
        <v>1.5324828885585096</v>
      </c>
      <c r="D20" s="52">
        <f t="shared" si="1"/>
        <v>1.4251739565426205</v>
      </c>
      <c r="E20" s="48">
        <f t="shared" si="2"/>
        <v>-0.10730893201588909</v>
      </c>
      <c r="F20" s="48">
        <f t="shared" si="3"/>
        <v>-1.3939839176807078E-4</v>
      </c>
      <c r="G20" s="48">
        <f t="shared" si="4"/>
        <v>1.5323434901667414</v>
      </c>
      <c r="H20" s="30">
        <f t="shared" si="5"/>
        <v>0</v>
      </c>
    </row>
    <row r="21" spans="2:8" x14ac:dyDescent="0.25">
      <c r="B21" s="26">
        <v>18</v>
      </c>
      <c r="C21" s="52">
        <f t="shared" si="0"/>
        <v>2.3022193218101682E-3</v>
      </c>
      <c r="D21" s="52">
        <f t="shared" si="1"/>
        <v>7.1766985210155283E-4</v>
      </c>
      <c r="E21" s="48">
        <f t="shared" si="2"/>
        <v>-1.5845494697086155E-3</v>
      </c>
      <c r="F21" s="48">
        <f t="shared" si="3"/>
        <v>-2.0583901414807151E-6</v>
      </c>
      <c r="G21" s="48">
        <f t="shared" si="4"/>
        <v>2.3001609316686874E-3</v>
      </c>
      <c r="H21" s="30">
        <f t="shared" si="5"/>
        <v>0</v>
      </c>
    </row>
    <row r="22" spans="2:8" x14ac:dyDescent="0.25">
      <c r="B22" s="26">
        <v>19</v>
      </c>
      <c r="C22" s="52">
        <f t="shared" si="0"/>
        <v>1.1978760529333901</v>
      </c>
      <c r="D22" s="52">
        <f t="shared" si="1"/>
        <v>0.96493434637770215</v>
      </c>
      <c r="E22" s="48">
        <f t="shared" si="2"/>
        <v>-0.23294170655568791</v>
      </c>
      <c r="F22" s="48">
        <f t="shared" si="3"/>
        <v>-3.0260015321711265E-4</v>
      </c>
      <c r="G22" s="48">
        <f t="shared" si="4"/>
        <v>1.1975734527801729</v>
      </c>
      <c r="H22" s="30">
        <f t="shared" si="5"/>
        <v>0</v>
      </c>
    </row>
    <row r="23" spans="2:8" x14ac:dyDescent="0.25">
      <c r="B23" s="26">
        <v>20</v>
      </c>
      <c r="C23" s="52">
        <f t="shared" si="0"/>
        <v>4.289924599988241E-3</v>
      </c>
      <c r="D23" s="52">
        <f t="shared" si="1"/>
        <v>2.3631359410929234E-3</v>
      </c>
      <c r="E23" s="48">
        <f t="shared" si="2"/>
        <v>-1.9267886588953177E-3</v>
      </c>
      <c r="F23" s="48">
        <f t="shared" si="3"/>
        <v>-2.5029718894900119E-6</v>
      </c>
      <c r="G23" s="48">
        <f t="shared" si="4"/>
        <v>4.2874216280987514E-3</v>
      </c>
      <c r="H23" s="30">
        <f t="shared" si="5"/>
        <v>0</v>
      </c>
    </row>
    <row r="24" spans="2:8" x14ac:dyDescent="0.25">
      <c r="B24" s="26">
        <v>21</v>
      </c>
      <c r="C24" s="52">
        <f t="shared" si="0"/>
        <v>0.14886071320433725</v>
      </c>
      <c r="D24" s="52">
        <f t="shared" si="1"/>
        <v>0.11057082122039739</v>
      </c>
      <c r="E24" s="48">
        <f t="shared" si="2"/>
        <v>-3.8289891983939853E-2</v>
      </c>
      <c r="F24" s="48">
        <f t="shared" si="3"/>
        <v>-4.9740028749368562E-5</v>
      </c>
      <c r="G24" s="48">
        <f t="shared" si="4"/>
        <v>0.14881097317558789</v>
      </c>
      <c r="H24" s="30">
        <f t="shared" si="5"/>
        <v>0</v>
      </c>
    </row>
    <row r="25" spans="2:8" x14ac:dyDescent="0.25">
      <c r="B25" s="26">
        <v>22</v>
      </c>
      <c r="C25" s="52">
        <f t="shared" si="0"/>
        <v>1.7693174251628295E-3</v>
      </c>
      <c r="D25" s="52">
        <f t="shared" si="1"/>
        <v>2.3683965026528521E-3</v>
      </c>
      <c r="E25" s="48">
        <f t="shared" si="2"/>
        <v>5.9907907749002262E-4</v>
      </c>
      <c r="F25" s="48">
        <f t="shared" si="3"/>
        <v>7.7822654997296301E-7</v>
      </c>
      <c r="G25" s="48">
        <f t="shared" si="4"/>
        <v>1.7700956517128024E-3</v>
      </c>
      <c r="H25" s="30">
        <f t="shared" si="5"/>
        <v>0</v>
      </c>
    </row>
    <row r="26" spans="2:8" x14ac:dyDescent="0.25">
      <c r="B26" s="26">
        <v>23</v>
      </c>
      <c r="C26" s="52">
        <f t="shared" si="0"/>
        <v>0.97151910927620677</v>
      </c>
      <c r="D26" s="52">
        <f t="shared" si="1"/>
        <v>0.91499109629030073</v>
      </c>
      <c r="E26" s="48">
        <f t="shared" si="2"/>
        <v>-5.652801298590604E-2</v>
      </c>
      <c r="F26" s="48">
        <f t="shared" si="3"/>
        <v>-7.3432042906858429E-5</v>
      </c>
      <c r="G26" s="48">
        <f t="shared" si="4"/>
        <v>0.97144567723329989</v>
      </c>
      <c r="H26" s="30">
        <f t="shared" si="5"/>
        <v>0</v>
      </c>
    </row>
    <row r="27" spans="2:8" x14ac:dyDescent="0.25">
      <c r="B27" s="26">
        <v>24</v>
      </c>
      <c r="C27" s="52">
        <f t="shared" si="0"/>
        <v>1.6642059470906843E-3</v>
      </c>
      <c r="D27" s="52">
        <f t="shared" si="1"/>
        <v>5.0465814106315395E-4</v>
      </c>
      <c r="E27" s="48">
        <f t="shared" si="2"/>
        <v>-1.1595478060275302E-3</v>
      </c>
      <c r="F27" s="48">
        <f t="shared" si="3"/>
        <v>-1.5062967853831488E-6</v>
      </c>
      <c r="G27" s="48">
        <f t="shared" si="4"/>
        <v>1.662699650305301E-3</v>
      </c>
      <c r="H27" s="30">
        <f t="shared" si="5"/>
        <v>0</v>
      </c>
    </row>
    <row r="28" spans="2:8" x14ac:dyDescent="0.25">
      <c r="B28" s="26">
        <v>25</v>
      </c>
      <c r="C28" s="52">
        <f t="shared" si="0"/>
        <v>0.60410783726699213</v>
      </c>
      <c r="D28" s="52">
        <f t="shared" si="1"/>
        <v>0.59625159344747769</v>
      </c>
      <c r="E28" s="48">
        <f t="shared" si="2"/>
        <v>-7.8562438195144413E-3</v>
      </c>
      <c r="F28" s="48">
        <f t="shared" si="3"/>
        <v>-1.0205560089033424E-5</v>
      </c>
      <c r="G28" s="48">
        <f t="shared" si="4"/>
        <v>0.60409763170690312</v>
      </c>
      <c r="H28" s="30">
        <f t="shared" si="5"/>
        <v>0</v>
      </c>
    </row>
    <row r="29" spans="2:8" x14ac:dyDescent="0.25">
      <c r="B29" s="26">
        <v>26</v>
      </c>
      <c r="C29" s="52">
        <f t="shared" si="0"/>
        <v>5.7283366829020497E-3</v>
      </c>
      <c r="D29" s="52">
        <f t="shared" si="1"/>
        <v>1.4156391535011382E-3</v>
      </c>
      <c r="E29" s="48">
        <f t="shared" si="2"/>
        <v>-4.312697529400911E-3</v>
      </c>
      <c r="F29" s="48">
        <f t="shared" si="3"/>
        <v>-5.602358428947953E-6</v>
      </c>
      <c r="G29" s="48">
        <f t="shared" si="4"/>
        <v>5.7227343244731013E-3</v>
      </c>
      <c r="H29" s="30">
        <f t="shared" si="5"/>
        <v>0</v>
      </c>
    </row>
    <row r="30" spans="2:8" x14ac:dyDescent="0.25">
      <c r="B30" s="26">
        <v>27</v>
      </c>
      <c r="C30" s="52">
        <f t="shared" si="0"/>
        <v>9.9377043514666238E-2</v>
      </c>
      <c r="D30" s="52">
        <f t="shared" si="1"/>
        <v>7.5391622206023953E-2</v>
      </c>
      <c r="E30" s="48">
        <f t="shared" si="2"/>
        <v>-2.3985421308642285E-2</v>
      </c>
      <c r="F30" s="48">
        <f t="shared" si="3"/>
        <v>-3.1157976260627379E-5</v>
      </c>
      <c r="G30" s="48">
        <f t="shared" si="4"/>
        <v>9.9345885538405607E-2</v>
      </c>
      <c r="H30" s="30">
        <f t="shared" si="5"/>
        <v>0</v>
      </c>
    </row>
    <row r="31" spans="2:8" x14ac:dyDescent="0.25">
      <c r="B31" s="26">
        <v>28</v>
      </c>
      <c r="C31" s="52">
        <f t="shared" si="0"/>
        <v>8.4429509332862738E-4</v>
      </c>
      <c r="D31" s="52">
        <f t="shared" si="1"/>
        <v>1.7536756837702497E-3</v>
      </c>
      <c r="E31" s="48">
        <f t="shared" si="2"/>
        <v>9.0938059044162235E-4</v>
      </c>
      <c r="F31" s="48">
        <f t="shared" si="3"/>
        <v>1.1813200395461086E-6</v>
      </c>
      <c r="G31" s="48">
        <f t="shared" si="4"/>
        <v>8.4547641336817352E-4</v>
      </c>
      <c r="H31" s="30">
        <f t="shared" si="5"/>
        <v>0</v>
      </c>
    </row>
    <row r="32" spans="2:8" x14ac:dyDescent="0.25">
      <c r="B32" s="26">
        <v>29</v>
      </c>
      <c r="C32" s="52">
        <f t="shared" si="0"/>
        <v>0.61840577400138186</v>
      </c>
      <c r="D32" s="52">
        <f t="shared" si="1"/>
        <v>0.50578743449988961</v>
      </c>
      <c r="E32" s="48">
        <f t="shared" si="2"/>
        <v>-0.11261833950149225</v>
      </c>
      <c r="F32" s="48">
        <f t="shared" si="3"/>
        <v>-1.4629551441043242E-4</v>
      </c>
      <c r="G32" s="48">
        <f t="shared" si="4"/>
        <v>0.61825947848697138</v>
      </c>
      <c r="H32" s="30">
        <f t="shared" si="5"/>
        <v>0</v>
      </c>
    </row>
    <row r="33" spans="2:8" x14ac:dyDescent="0.25">
      <c r="B33" s="26">
        <v>30</v>
      </c>
      <c r="C33" s="52">
        <f t="shared" si="0"/>
        <v>2.6821760992090326E-3</v>
      </c>
      <c r="D33" s="52">
        <f t="shared" si="1"/>
        <v>5.3985110846739104E-4</v>
      </c>
      <c r="E33" s="48">
        <f t="shared" si="2"/>
        <v>-2.1423249907416416E-3</v>
      </c>
      <c r="F33" s="48">
        <f t="shared" si="3"/>
        <v>-2.782961797716086E-6</v>
      </c>
      <c r="G33" s="48">
        <f t="shared" si="4"/>
        <v>2.6793931374113167E-3</v>
      </c>
      <c r="H33" s="30">
        <f t="shared" si="5"/>
        <v>0</v>
      </c>
    </row>
    <row r="34" spans="2:8" x14ac:dyDescent="0.25">
      <c r="B34" s="26">
        <v>31</v>
      </c>
      <c r="C34" s="52">
        <f t="shared" si="0"/>
        <v>0.43268010175951643</v>
      </c>
      <c r="D34" s="52">
        <f t="shared" si="1"/>
        <v>0.37617527613812002</v>
      </c>
      <c r="E34" s="48">
        <f t="shared" si="2"/>
        <v>-5.6504825621396415E-2</v>
      </c>
      <c r="F34" s="48">
        <f t="shared" si="3"/>
        <v>-7.3401921636790225E-5</v>
      </c>
      <c r="G34" s="48">
        <f t="shared" si="4"/>
        <v>0.43260669983787964</v>
      </c>
      <c r="H34" s="30">
        <f t="shared" si="5"/>
        <v>0</v>
      </c>
    </row>
    <row r="35" spans="2:8" x14ac:dyDescent="0.25">
      <c r="B35" s="26">
        <v>32</v>
      </c>
      <c r="C35" s="52">
        <f t="shared" si="0"/>
        <v>4.587462629749072E-3</v>
      </c>
      <c r="D35" s="52">
        <f t="shared" si="1"/>
        <v>1.2699646308248702E-3</v>
      </c>
      <c r="E35" s="48">
        <f t="shared" si="2"/>
        <v>-3.317497998924202E-3</v>
      </c>
      <c r="F35" s="48">
        <f t="shared" si="3"/>
        <v>-4.3095563161075145E-6</v>
      </c>
      <c r="G35" s="48">
        <f t="shared" si="4"/>
        <v>4.5831530734329641E-3</v>
      </c>
      <c r="H35" s="30">
        <f t="shared" si="5"/>
        <v>0</v>
      </c>
    </row>
    <row r="36" spans="2:8" x14ac:dyDescent="0.25">
      <c r="B36" s="26">
        <v>33</v>
      </c>
      <c r="C36" s="52">
        <f t="shared" si="0"/>
        <v>8.4151409301761251E-2</v>
      </c>
      <c r="D36" s="52">
        <f t="shared" si="1"/>
        <v>6.7503639523961864E-2</v>
      </c>
      <c r="E36" s="48">
        <f t="shared" si="2"/>
        <v>-1.6647769777799387E-2</v>
      </c>
      <c r="F36" s="48">
        <f t="shared" si="3"/>
        <v>-2.1626087315888192E-5</v>
      </c>
      <c r="G36" s="48">
        <f t="shared" si="4"/>
        <v>8.4129783214445364E-2</v>
      </c>
      <c r="H36" s="30">
        <f t="shared" si="5"/>
        <v>0</v>
      </c>
    </row>
    <row r="37" spans="2:8" x14ac:dyDescent="0.25">
      <c r="B37" s="26">
        <v>34</v>
      </c>
      <c r="C37" s="52">
        <f t="shared" si="0"/>
        <v>5.8256465500538285E-2</v>
      </c>
      <c r="D37" s="52">
        <f t="shared" si="1"/>
        <v>4.4253058727944716E-2</v>
      </c>
      <c r="E37" s="48">
        <f t="shared" si="2"/>
        <v>-1.4003406772593568E-2</v>
      </c>
      <c r="F37" s="48">
        <f t="shared" si="3"/>
        <v>-1.8190959006885057E-5</v>
      </c>
      <c r="G37" s="48">
        <f t="shared" si="4"/>
        <v>5.8238274541531403E-2</v>
      </c>
      <c r="H37" s="30">
        <f t="shared" si="5"/>
        <v>0</v>
      </c>
    </row>
    <row r="38" spans="2:8" x14ac:dyDescent="0.25">
      <c r="B38" s="26">
        <v>35</v>
      </c>
      <c r="C38" s="52">
        <f t="shared" si="0"/>
        <v>0.39029335703643686</v>
      </c>
      <c r="D38" s="52">
        <f t="shared" si="1"/>
        <v>0.36343466624775511</v>
      </c>
      <c r="E38" s="48">
        <f t="shared" si="2"/>
        <v>-2.6858690788681749E-2</v>
      </c>
      <c r="F38" s="48">
        <f t="shared" si="3"/>
        <v>-3.4890462803075464E-5</v>
      </c>
      <c r="G38" s="48">
        <f t="shared" si="4"/>
        <v>0.39025846657363378</v>
      </c>
      <c r="H38" s="30">
        <f t="shared" si="5"/>
        <v>0</v>
      </c>
    </row>
    <row r="39" spans="2:8" x14ac:dyDescent="0.25">
      <c r="B39" s="26">
        <v>36</v>
      </c>
      <c r="C39" s="52">
        <f t="shared" si="0"/>
        <v>5.8256465500538285E-2</v>
      </c>
      <c r="D39" s="52">
        <f t="shared" si="1"/>
        <v>4.4253058727944716E-2</v>
      </c>
      <c r="E39" s="48">
        <f t="shared" si="2"/>
        <v>-1.4003406772593568E-2</v>
      </c>
      <c r="F39" s="48">
        <f t="shared" si="3"/>
        <v>-1.8190959006885057E-5</v>
      </c>
      <c r="G39" s="48">
        <f t="shared" si="4"/>
        <v>5.8238274541531403E-2</v>
      </c>
      <c r="H39" s="30">
        <f t="shared" si="5"/>
        <v>0</v>
      </c>
    </row>
    <row r="40" spans="2:8" x14ac:dyDescent="0.25">
      <c r="B40" s="26">
        <v>37</v>
      </c>
      <c r="C40" s="52">
        <f t="shared" si="0"/>
        <v>0.26038899134139826</v>
      </c>
      <c r="D40" s="52">
        <f t="shared" si="1"/>
        <v>0.23293659142238254</v>
      </c>
      <c r="E40" s="48">
        <f t="shared" si="2"/>
        <v>-2.7452399919015713E-2</v>
      </c>
      <c r="F40" s="48">
        <f t="shared" si="3"/>
        <v>-3.566171358706724E-5</v>
      </c>
      <c r="G40" s="48">
        <f t="shared" si="4"/>
        <v>0.26035332962781121</v>
      </c>
      <c r="H40" s="30">
        <f t="shared" si="5"/>
        <v>0</v>
      </c>
    </row>
    <row r="41" spans="2:8" x14ac:dyDescent="0.25">
      <c r="B41" s="26">
        <v>38</v>
      </c>
      <c r="C41" s="52">
        <f t="shared" si="0"/>
        <v>5.8256465500538285E-2</v>
      </c>
      <c r="D41" s="52">
        <f t="shared" si="1"/>
        <v>4.4253058727944716E-2</v>
      </c>
      <c r="E41" s="48">
        <f t="shared" si="2"/>
        <v>-1.4003406772593568E-2</v>
      </c>
      <c r="F41" s="48">
        <f t="shared" si="3"/>
        <v>-1.8190959006885057E-5</v>
      </c>
      <c r="G41" s="48">
        <f t="shared" si="4"/>
        <v>5.8238274541531403E-2</v>
      </c>
      <c r="H41" s="30">
        <f t="shared" si="5"/>
        <v>0</v>
      </c>
    </row>
    <row r="42" spans="2:8" x14ac:dyDescent="0.25">
      <c r="B42" s="26">
        <v>39</v>
      </c>
      <c r="C42" s="52">
        <f t="shared" si="0"/>
        <v>7.1958024598108364E-2</v>
      </c>
      <c r="D42" s="52">
        <f t="shared" si="1"/>
        <v>5.1366620792552581E-2</v>
      </c>
      <c r="E42" s="48">
        <f t="shared" si="2"/>
        <v>-2.0591403805555783E-2</v>
      </c>
      <c r="F42" s="48">
        <f t="shared" si="3"/>
        <v>-2.674901819278558E-5</v>
      </c>
      <c r="G42" s="48">
        <f t="shared" si="4"/>
        <v>7.1931275579915577E-2</v>
      </c>
      <c r="H42" s="30">
        <f t="shared" si="5"/>
        <v>0</v>
      </c>
    </row>
    <row r="43" spans="2:8" x14ac:dyDescent="0.25">
      <c r="B43" s="26">
        <v>40</v>
      </c>
      <c r="C43" s="52">
        <f t="shared" si="0"/>
        <v>5.8256465500538285E-2</v>
      </c>
      <c r="D43" s="52">
        <f t="shared" si="1"/>
        <v>4.4253058727944716E-2</v>
      </c>
      <c r="E43" s="48">
        <f t="shared" si="2"/>
        <v>-1.4003406772593568E-2</v>
      </c>
      <c r="F43" s="48">
        <f t="shared" si="3"/>
        <v>-1.8190959006885057E-5</v>
      </c>
      <c r="G43" s="48">
        <f t="shared" si="4"/>
        <v>5.8238274541531403E-2</v>
      </c>
      <c r="H43" s="30">
        <f t="shared" si="5"/>
        <v>0</v>
      </c>
    </row>
    <row r="44" spans="2:8" x14ac:dyDescent="0.25">
      <c r="B44" s="26">
        <v>41</v>
      </c>
      <c r="C44" s="52">
        <f t="shared" si="0"/>
        <v>0.30529874652047795</v>
      </c>
      <c r="D44" s="52">
        <f t="shared" si="1"/>
        <v>0.272856325769609</v>
      </c>
      <c r="E44" s="48">
        <f t="shared" si="2"/>
        <v>-3.244242075086895E-2</v>
      </c>
      <c r="F44" s="48">
        <f t="shared" si="3"/>
        <v>-4.2143940795763301E-5</v>
      </c>
      <c r="G44" s="48">
        <f t="shared" si="4"/>
        <v>0.30525660257968218</v>
      </c>
      <c r="H44" s="30">
        <f t="shared" si="5"/>
        <v>0</v>
      </c>
    </row>
    <row r="45" spans="2:8" x14ac:dyDescent="0.25">
      <c r="B45" s="26">
        <v>42</v>
      </c>
      <c r="C45" s="52">
        <f t="shared" si="0"/>
        <v>5.8256465500538285E-2</v>
      </c>
      <c r="D45" s="52">
        <f t="shared" si="1"/>
        <v>4.4253058727944716E-2</v>
      </c>
      <c r="E45" s="48">
        <f t="shared" si="2"/>
        <v>-1.4003406772593568E-2</v>
      </c>
      <c r="F45" s="48">
        <f t="shared" si="3"/>
        <v>-1.8190959006885057E-5</v>
      </c>
      <c r="G45" s="48">
        <f t="shared" si="4"/>
        <v>5.8238274541531403E-2</v>
      </c>
      <c r="H45" s="30">
        <f t="shared" si="5"/>
        <v>0</v>
      </c>
    </row>
    <row r="46" spans="2:8" x14ac:dyDescent="0.25">
      <c r="B46" s="26">
        <v>43</v>
      </c>
      <c r="C46" s="52">
        <f t="shared" si="0"/>
        <v>0.1877023014843526</v>
      </c>
      <c r="D46" s="52">
        <f t="shared" si="1"/>
        <v>0.18024721970812474</v>
      </c>
      <c r="E46" s="48">
        <f t="shared" si="2"/>
        <v>-7.4550817762278621E-3</v>
      </c>
      <c r="F46" s="48">
        <f t="shared" si="3"/>
        <v>-9.6844353082531796E-6</v>
      </c>
      <c r="G46" s="48">
        <f t="shared" si="4"/>
        <v>0.18769261704904436</v>
      </c>
      <c r="H46" s="30">
        <f t="shared" si="5"/>
        <v>0</v>
      </c>
    </row>
    <row r="47" spans="2:8" x14ac:dyDescent="0.25">
      <c r="B47" s="26">
        <v>44</v>
      </c>
      <c r="C47" s="52">
        <f t="shared" si="0"/>
        <v>5.8256465500538285E-2</v>
      </c>
      <c r="D47" s="52">
        <f t="shared" si="1"/>
        <v>4.4253058727944716E-2</v>
      </c>
      <c r="E47" s="48">
        <f t="shared" si="2"/>
        <v>-1.4003406772593568E-2</v>
      </c>
      <c r="F47" s="48">
        <f t="shared" si="3"/>
        <v>-1.8190959006885057E-5</v>
      </c>
      <c r="G47" s="48">
        <f t="shared" si="4"/>
        <v>5.8238274541531403E-2</v>
      </c>
      <c r="H47" s="30">
        <f t="shared" si="5"/>
        <v>0</v>
      </c>
    </row>
    <row r="48" spans="2:8" x14ac:dyDescent="0.25">
      <c r="B48" s="26">
        <v>45</v>
      </c>
      <c r="C48" s="52">
        <f t="shared" si="0"/>
        <v>5.8261619608528936E-2</v>
      </c>
      <c r="D48" s="52">
        <f t="shared" si="1"/>
        <v>4.4254803859095013E-2</v>
      </c>
      <c r="E48" s="48">
        <f t="shared" si="2"/>
        <v>-1.4006815749433923E-2</v>
      </c>
      <c r="F48" s="48">
        <f t="shared" si="3"/>
        <v>-1.8195387397702043E-5</v>
      </c>
      <c r="G48" s="48">
        <f t="shared" si="4"/>
        <v>5.8243424221131233E-2</v>
      </c>
      <c r="H48" s="30">
        <f t="shared" si="5"/>
        <v>0</v>
      </c>
    </row>
    <row r="49" spans="1:21" x14ac:dyDescent="0.25">
      <c r="B49" s="26">
        <v>46</v>
      </c>
      <c r="C49" s="52">
        <f t="shared" si="0"/>
        <v>5.8256465500538285E-2</v>
      </c>
      <c r="D49" s="52">
        <f t="shared" si="1"/>
        <v>4.4253058727944716E-2</v>
      </c>
      <c r="E49" s="48">
        <f t="shared" si="2"/>
        <v>-1.4003406772593568E-2</v>
      </c>
      <c r="F49" s="48">
        <f t="shared" si="3"/>
        <v>-1.8190959006885057E-5</v>
      </c>
      <c r="G49" s="48">
        <f t="shared" si="4"/>
        <v>5.8238274541531403E-2</v>
      </c>
      <c r="H49" s="30">
        <f t="shared" si="5"/>
        <v>0</v>
      </c>
    </row>
    <row r="50" spans="1:21" x14ac:dyDescent="0.25">
      <c r="B50" s="26">
        <v>47</v>
      </c>
      <c r="C50" s="52">
        <f t="shared" si="0"/>
        <v>0.2367936036530196</v>
      </c>
      <c r="D50" s="52">
        <f t="shared" si="1"/>
        <v>0.19038468562778788</v>
      </c>
      <c r="E50" s="48">
        <f t="shared" si="2"/>
        <v>-4.6408918025231727E-2</v>
      </c>
      <c r="F50" s="48">
        <f t="shared" si="3"/>
        <v>-6.0286952957985159E-5</v>
      </c>
      <c r="G50" s="48">
        <f t="shared" si="4"/>
        <v>0.23673331670006162</v>
      </c>
      <c r="H50" s="30">
        <f t="shared" si="5"/>
        <v>0</v>
      </c>
    </row>
    <row r="51" spans="1:21" x14ac:dyDescent="0.25">
      <c r="B51" s="26">
        <v>48</v>
      </c>
      <c r="C51" s="52">
        <f t="shared" si="0"/>
        <v>5.8256465500538285E-2</v>
      </c>
      <c r="D51" s="52">
        <f t="shared" si="1"/>
        <v>4.4253058727944716E-2</v>
      </c>
      <c r="E51" s="48">
        <f t="shared" si="2"/>
        <v>-1.4003406772593568E-2</v>
      </c>
      <c r="F51" s="48">
        <f t="shared" si="3"/>
        <v>-1.8190959006885057E-5</v>
      </c>
      <c r="G51" s="48">
        <f t="shared" si="4"/>
        <v>5.8238274541531403E-2</v>
      </c>
      <c r="H51" s="30">
        <f t="shared" si="5"/>
        <v>0</v>
      </c>
    </row>
    <row r="52" spans="1:21" x14ac:dyDescent="0.25">
      <c r="B52" s="26">
        <v>49</v>
      </c>
      <c r="C52" s="52">
        <f t="shared" si="0"/>
        <v>0.14316623416465049</v>
      </c>
      <c r="D52" s="52">
        <f t="shared" si="1"/>
        <v>0.11820986355275069</v>
      </c>
      <c r="E52" s="48">
        <f t="shared" si="2"/>
        <v>-2.49563706118998E-2</v>
      </c>
      <c r="F52" s="48">
        <f t="shared" si="3"/>
        <v>-3.241927640423878E-5</v>
      </c>
      <c r="G52" s="48">
        <f t="shared" si="4"/>
        <v>0.14313381488824625</v>
      </c>
      <c r="H52" s="30">
        <f t="shared" si="5"/>
        <v>0</v>
      </c>
    </row>
    <row r="53" spans="1:21" x14ac:dyDescent="0.25">
      <c r="B53" s="26">
        <v>50</v>
      </c>
      <c r="C53" s="52">
        <f t="shared" si="0"/>
        <v>5.8256465500538285E-2</v>
      </c>
      <c r="D53" s="52">
        <f t="shared" si="1"/>
        <v>4.4253058727944716E-2</v>
      </c>
      <c r="E53" s="48">
        <f t="shared" si="2"/>
        <v>-1.4003406772593568E-2</v>
      </c>
      <c r="F53" s="48">
        <f t="shared" si="3"/>
        <v>-1.8190959006885057E-5</v>
      </c>
      <c r="G53" s="48">
        <f t="shared" si="4"/>
        <v>5.8238274541531403E-2</v>
      </c>
      <c r="H53" s="30">
        <f t="shared" si="5"/>
        <v>0</v>
      </c>
    </row>
    <row r="54" spans="1:21" x14ac:dyDescent="0.25">
      <c r="E54" s="32"/>
      <c r="F54" s="32"/>
    </row>
    <row r="55" spans="1:21" x14ac:dyDescent="0.25">
      <c r="F55" s="26" t="s">
        <v>85</v>
      </c>
      <c r="G55" s="29">
        <f>IF(H4=0,0,100*H55/H4)</f>
        <v>0</v>
      </c>
      <c r="H55" s="29">
        <f>SQRT(SUMSQ(H5:H53))</f>
        <v>0</v>
      </c>
      <c r="I55" s="26" t="s">
        <v>52</v>
      </c>
    </row>
    <row r="56" spans="1:21" x14ac:dyDescent="0.25">
      <c r="F56" s="26" t="s">
        <v>86</v>
      </c>
      <c r="G56" s="29">
        <f>SQRT(SUMSQ(G4:G53))</f>
        <v>103.94110160818423</v>
      </c>
      <c r="H56" s="29">
        <f>SQRT(SUMSQ(H4:H53))</f>
        <v>0</v>
      </c>
      <c r="I56" s="26" t="s">
        <v>54</v>
      </c>
    </row>
    <row r="57" spans="1:21" x14ac:dyDescent="0.25">
      <c r="G57" s="26" t="s">
        <v>87</v>
      </c>
      <c r="H57" s="26" t="s">
        <v>13</v>
      </c>
    </row>
    <row r="59" spans="1:21" x14ac:dyDescent="0.25">
      <c r="A59" s="25" t="s">
        <v>63</v>
      </c>
      <c r="C59" s="36"/>
      <c r="D59" s="36"/>
      <c r="E59" s="36"/>
      <c r="F59" s="36"/>
      <c r="G59" s="36"/>
      <c r="H59" s="36"/>
      <c r="I59" s="36"/>
      <c r="J59" s="36"/>
      <c r="K59" s="36"/>
      <c r="L59" s="36"/>
      <c r="M59" s="36"/>
      <c r="N59" s="36"/>
      <c r="O59" s="36"/>
      <c r="P59" s="36"/>
      <c r="Q59" s="36"/>
      <c r="R59" s="36"/>
      <c r="S59" s="36"/>
    </row>
    <row r="60" spans="1:21" ht="14.4" x14ac:dyDescent="0.3">
      <c r="C60" s="1" t="s">
        <v>478</v>
      </c>
      <c r="D60" s="7">
        <f>100/D62</f>
        <v>1000</v>
      </c>
      <c r="E60" s="7">
        <f t="shared" ref="E60:U60" si="6">100/E62</f>
        <v>200</v>
      </c>
      <c r="F60" s="7">
        <f t="shared" si="6"/>
        <v>100</v>
      </c>
      <c r="G60" s="7">
        <f t="shared" si="6"/>
        <v>50</v>
      </c>
      <c r="H60" s="7">
        <f t="shared" si="6"/>
        <v>33.333333333333336</v>
      </c>
      <c r="I60" s="7">
        <f t="shared" si="6"/>
        <v>25</v>
      </c>
      <c r="J60" s="7">
        <f t="shared" si="6"/>
        <v>20</v>
      </c>
      <c r="K60" s="7">
        <f t="shared" si="6"/>
        <v>16.666666666666668</v>
      </c>
      <c r="L60" s="7">
        <f t="shared" si="6"/>
        <v>14.285714285714286</v>
      </c>
      <c r="M60" s="7">
        <f t="shared" si="6"/>
        <v>12.5</v>
      </c>
      <c r="N60" s="7">
        <f t="shared" si="6"/>
        <v>10</v>
      </c>
      <c r="O60" s="7">
        <f t="shared" si="6"/>
        <v>8.3333333333333339</v>
      </c>
      <c r="P60" s="7">
        <f t="shared" si="6"/>
        <v>7.1428571428571432</v>
      </c>
      <c r="Q60" s="7">
        <f t="shared" si="6"/>
        <v>5.5555555555555554</v>
      </c>
      <c r="R60" s="7">
        <f t="shared" si="6"/>
        <v>4.7619047619047619</v>
      </c>
      <c r="S60" s="7">
        <f t="shared" si="6"/>
        <v>1</v>
      </c>
      <c r="T60" s="7">
        <f t="shared" si="6"/>
        <v>0.1</v>
      </c>
      <c r="U60" s="7">
        <f t="shared" si="6"/>
        <v>0.01</v>
      </c>
    </row>
    <row r="61" spans="1:21" ht="14.4" x14ac:dyDescent="0.3">
      <c r="C61" s="1" t="s">
        <v>64</v>
      </c>
      <c r="D61">
        <v>0</v>
      </c>
      <c r="E61">
        <v>1</v>
      </c>
      <c r="F61">
        <v>2</v>
      </c>
      <c r="G61">
        <v>3</v>
      </c>
      <c r="H61">
        <v>4</v>
      </c>
      <c r="I61">
        <v>5</v>
      </c>
      <c r="J61">
        <v>6</v>
      </c>
      <c r="K61">
        <v>7</v>
      </c>
      <c r="L61">
        <v>8</v>
      </c>
      <c r="M61">
        <v>9</v>
      </c>
      <c r="N61">
        <v>10</v>
      </c>
      <c r="O61">
        <v>11</v>
      </c>
      <c r="P61">
        <v>12</v>
      </c>
      <c r="Q61">
        <v>13</v>
      </c>
      <c r="R61">
        <v>14</v>
      </c>
      <c r="S61">
        <v>15</v>
      </c>
      <c r="T61">
        <v>16</v>
      </c>
      <c r="U61">
        <v>17</v>
      </c>
    </row>
    <row r="62" spans="1:21" ht="14.4" x14ac:dyDescent="0.3">
      <c r="A62" s="26" t="s">
        <v>65</v>
      </c>
      <c r="B62" s="54"/>
      <c r="C62" s="216" t="s">
        <v>1</v>
      </c>
      <c r="D62" s="296">
        <v>0.1</v>
      </c>
      <c r="E62" s="296">
        <v>0.5</v>
      </c>
      <c r="F62" s="296">
        <v>1</v>
      </c>
      <c r="G62" s="296">
        <v>2</v>
      </c>
      <c r="H62" s="296">
        <v>3</v>
      </c>
      <c r="I62" s="296">
        <v>4</v>
      </c>
      <c r="J62" s="296">
        <v>5</v>
      </c>
      <c r="K62" s="296">
        <v>6</v>
      </c>
      <c r="L62" s="296">
        <v>7</v>
      </c>
      <c r="M62" s="296">
        <v>8</v>
      </c>
      <c r="N62" s="296">
        <v>10</v>
      </c>
      <c r="O62" s="296">
        <v>12</v>
      </c>
      <c r="P62" s="296">
        <v>14</v>
      </c>
      <c r="Q62" s="296">
        <v>18</v>
      </c>
      <c r="R62" s="296">
        <v>21</v>
      </c>
      <c r="S62" s="296">
        <v>100</v>
      </c>
      <c r="T62" s="296">
        <v>1000</v>
      </c>
      <c r="U62" s="296">
        <v>10000</v>
      </c>
    </row>
    <row r="63" spans="1:21" ht="14.4" x14ac:dyDescent="0.3">
      <c r="A63" s="31"/>
      <c r="C63" s="1" t="s">
        <v>64</v>
      </c>
      <c r="D63">
        <v>0</v>
      </c>
      <c r="E63">
        <v>1</v>
      </c>
      <c r="F63">
        <v>2</v>
      </c>
      <c r="G63">
        <v>3</v>
      </c>
      <c r="H63">
        <v>4</v>
      </c>
      <c r="I63">
        <v>5</v>
      </c>
      <c r="J63">
        <v>6</v>
      </c>
      <c r="K63">
        <v>7</v>
      </c>
      <c r="L63">
        <v>8</v>
      </c>
      <c r="M63">
        <v>9</v>
      </c>
      <c r="N63">
        <v>10</v>
      </c>
      <c r="O63">
        <v>11</v>
      </c>
      <c r="P63">
        <v>12</v>
      </c>
      <c r="Q63">
        <v>13</v>
      </c>
      <c r="R63">
        <v>14</v>
      </c>
      <c r="S63">
        <v>15</v>
      </c>
      <c r="T63">
        <v>16</v>
      </c>
      <c r="U63">
        <v>17</v>
      </c>
    </row>
    <row r="64" spans="1:21" ht="14.4" x14ac:dyDescent="0.3">
      <c r="A64" s="43">
        <v>2</v>
      </c>
      <c r="B64" s="43"/>
      <c r="C64" s="1"/>
      <c r="D64" s="298">
        <v>1.7291324964220301E-2</v>
      </c>
      <c r="E64" s="298">
        <v>6.6998018440489568E-2</v>
      </c>
      <c r="F64" s="298">
        <v>0.12416560747379798</v>
      </c>
      <c r="G64" s="298">
        <v>0.19164678959143519</v>
      </c>
      <c r="H64" s="298">
        <v>3.2432337711389723E-2</v>
      </c>
      <c r="I64" s="298">
        <v>2.6794917304969575E-2</v>
      </c>
      <c r="J64" s="298">
        <v>1.0787351058726545E-2</v>
      </c>
      <c r="K64" s="298">
        <v>1.5488830696511377E-2</v>
      </c>
      <c r="L64" s="298">
        <v>1.1120918013740941E-2</v>
      </c>
      <c r="M64" s="298">
        <v>1.2571907703050382E-2</v>
      </c>
      <c r="N64" s="298">
        <v>2.636287592484499E-2</v>
      </c>
      <c r="O64" s="298">
        <v>3.9068771982494086E-3</v>
      </c>
      <c r="P64" s="298">
        <v>1.783236037225493E-2</v>
      </c>
      <c r="Q64" s="298">
        <v>6.5715038062707058E-3</v>
      </c>
      <c r="R64" s="298">
        <v>5.7146036546192576E-3</v>
      </c>
      <c r="S64" s="298">
        <v>5.7146036546192576E-3</v>
      </c>
      <c r="T64" s="298">
        <v>5.7146036546192576E-3</v>
      </c>
      <c r="U64" s="298">
        <v>5.7146036546192576E-3</v>
      </c>
    </row>
    <row r="65" spans="1:21" ht="14.4" x14ac:dyDescent="0.3">
      <c r="A65" s="43">
        <v>3</v>
      </c>
      <c r="B65" s="43"/>
      <c r="C65" s="1"/>
      <c r="D65" s="298">
        <v>0.55385104430828935</v>
      </c>
      <c r="E65" s="298">
        <v>8.5473774716319078</v>
      </c>
      <c r="F65" s="298">
        <v>4.3857615521600959</v>
      </c>
      <c r="G65" s="298">
        <v>4.8916763402676038</v>
      </c>
      <c r="H65" s="298">
        <v>5.107248510230364</v>
      </c>
      <c r="I65" s="298">
        <v>6.2072885442798249</v>
      </c>
      <c r="J65" s="298">
        <v>7.7608557639223745</v>
      </c>
      <c r="K65" s="298">
        <v>5.1365577880102951</v>
      </c>
      <c r="L65" s="298">
        <v>3.7115343236794409</v>
      </c>
      <c r="M65" s="298">
        <v>2.8652501742303245</v>
      </c>
      <c r="N65" s="298">
        <v>1.976424393859703</v>
      </c>
      <c r="O65" s="298">
        <v>1.512989131711088</v>
      </c>
      <c r="P65" s="298">
        <v>1.2479844012146544</v>
      </c>
      <c r="Q65" s="298">
        <v>0.90186138282906037</v>
      </c>
      <c r="R65" s="298">
        <v>0.8611207071065603</v>
      </c>
      <c r="S65" s="298">
        <v>0.8611207071065603</v>
      </c>
      <c r="T65" s="298">
        <v>0.8611207071065603</v>
      </c>
      <c r="U65" s="298">
        <v>0.8611207071065603</v>
      </c>
    </row>
    <row r="66" spans="1:21" ht="14.4" x14ac:dyDescent="0.3">
      <c r="A66" s="43">
        <v>4</v>
      </c>
      <c r="B66" s="43"/>
      <c r="C66" s="1"/>
      <c r="D66" s="298">
        <v>0.13520250276733159</v>
      </c>
      <c r="E66" s="298">
        <v>2.8695360144102396E-2</v>
      </c>
      <c r="F66" s="298">
        <v>0.11237654569855723</v>
      </c>
      <c r="G66" s="298">
        <v>0.1270693443534559</v>
      </c>
      <c r="H66" s="298">
        <v>2.9673650735424224E-2</v>
      </c>
      <c r="I66" s="298">
        <v>2.1212221057019379E-2</v>
      </c>
      <c r="J66" s="298">
        <v>1.8916758051922035E-2</v>
      </c>
      <c r="K66" s="298">
        <v>2.4591818946340816E-2</v>
      </c>
      <c r="L66" s="298">
        <v>2.2309871990685983E-2</v>
      </c>
      <c r="M66" s="298">
        <v>1.4672119245636975E-2</v>
      </c>
      <c r="N66" s="298">
        <v>3.4977738354405041E-3</v>
      </c>
      <c r="O66" s="298">
        <v>3.318391374383355E-3</v>
      </c>
      <c r="P66" s="298">
        <v>1.8380050856337499E-2</v>
      </c>
      <c r="Q66" s="298">
        <v>5.7240454854559945E-3</v>
      </c>
      <c r="R66" s="298">
        <v>1.5847873572736098E-3</v>
      </c>
      <c r="S66" s="298">
        <v>1.5847873572736098E-3</v>
      </c>
      <c r="T66" s="298">
        <v>1.5847873572736098E-3</v>
      </c>
      <c r="U66" s="298">
        <v>1.5847873572736098E-3</v>
      </c>
    </row>
    <row r="67" spans="1:21" ht="14.4" x14ac:dyDescent="0.3">
      <c r="A67" s="43">
        <v>5</v>
      </c>
      <c r="B67" s="43"/>
      <c r="C67" s="1"/>
      <c r="D67" s="298">
        <v>93.368748010282204</v>
      </c>
      <c r="E67" s="298">
        <v>82.87682728374898</v>
      </c>
      <c r="F67" s="298">
        <v>73.247221838386295</v>
      </c>
      <c r="G67" s="298">
        <v>60.831459052554194</v>
      </c>
      <c r="H67" s="298">
        <v>49.382828970020235</v>
      </c>
      <c r="I67" s="298">
        <v>41.72752692184784</v>
      </c>
      <c r="J67" s="298">
        <v>37.27946499417164</v>
      </c>
      <c r="K67" s="298">
        <v>34.240442443062605</v>
      </c>
      <c r="L67" s="298">
        <v>31.801834469310585</v>
      </c>
      <c r="M67" s="298">
        <v>29.833911528390878</v>
      </c>
      <c r="N67" s="298">
        <v>26.829447444032468</v>
      </c>
      <c r="O67" s="298">
        <v>24.524377947577921</v>
      </c>
      <c r="P67" s="298">
        <v>22.666145948519805</v>
      </c>
      <c r="Q67" s="298">
        <v>19.683481307529799</v>
      </c>
      <c r="R67" s="298">
        <v>19.55420880107971</v>
      </c>
      <c r="S67" s="298">
        <v>19.55420880107971</v>
      </c>
      <c r="T67" s="298">
        <v>19.55420880107971</v>
      </c>
      <c r="U67" s="298">
        <v>19.55420880107971</v>
      </c>
    </row>
    <row r="68" spans="1:21" ht="14.4" x14ac:dyDescent="0.3">
      <c r="A68" s="43">
        <v>6</v>
      </c>
      <c r="B68" s="43"/>
      <c r="C68" s="1"/>
      <c r="D68" s="298">
        <v>6.8818496078623531E-2</v>
      </c>
      <c r="E68" s="298">
        <v>5.2936191485114158E-2</v>
      </c>
      <c r="F68" s="298">
        <v>7.0102641631974985E-3</v>
      </c>
      <c r="G68" s="298">
        <v>1.1862351899176933E-2</v>
      </c>
      <c r="H68" s="298">
        <v>1.9222702695116914E-3</v>
      </c>
      <c r="I68" s="298">
        <v>1.1087146410300954E-2</v>
      </c>
      <c r="J68" s="298">
        <v>6.7285132893848583E-3</v>
      </c>
      <c r="K68" s="298">
        <v>4.5194792975590103E-3</v>
      </c>
      <c r="L68" s="298">
        <v>6.0169639857389576E-3</v>
      </c>
      <c r="M68" s="298">
        <v>7.3330327729595772E-3</v>
      </c>
      <c r="N68" s="298">
        <v>4.9368015428742544E-3</v>
      </c>
      <c r="O68" s="298">
        <v>2.1005572354824645E-3</v>
      </c>
      <c r="P68" s="298">
        <v>9.2816222816082712E-3</v>
      </c>
      <c r="Q68" s="298">
        <v>3.8021989595571734E-3</v>
      </c>
      <c r="R68" s="298">
        <v>2.6949365909897677E-3</v>
      </c>
      <c r="S68" s="298">
        <v>2.6949365909897677E-3</v>
      </c>
      <c r="T68" s="298">
        <v>2.6949365909897677E-3</v>
      </c>
      <c r="U68" s="298">
        <v>2.6949365909897677E-3</v>
      </c>
    </row>
    <row r="69" spans="1:21" ht="14.4" x14ac:dyDescent="0.3">
      <c r="A69" s="43">
        <v>7</v>
      </c>
      <c r="B69" s="43"/>
      <c r="C69" s="1"/>
      <c r="D69" s="298">
        <v>85.792929223620419</v>
      </c>
      <c r="E69" s="298">
        <v>65.67536665068971</v>
      </c>
      <c r="F69" s="298">
        <v>52.471101352240538</v>
      </c>
      <c r="G69" s="298">
        <v>34.473926081721721</v>
      </c>
      <c r="H69" s="298">
        <v>20.70483242585701</v>
      </c>
      <c r="I69" s="298">
        <v>13.8859457017344</v>
      </c>
      <c r="J69" s="298">
        <v>10.407370469722119</v>
      </c>
      <c r="K69" s="298">
        <v>8.4234250472584673</v>
      </c>
      <c r="L69" s="298">
        <v>7.3447486655802345</v>
      </c>
      <c r="M69" s="298">
        <v>6.8022663683683335</v>
      </c>
      <c r="N69" s="298">
        <v>6.5166708279323533</v>
      </c>
      <c r="O69" s="298">
        <v>6.6273860488121423</v>
      </c>
      <c r="P69" s="298">
        <v>6.8022403042729351</v>
      </c>
      <c r="Q69" s="298">
        <v>6.987229811341364</v>
      </c>
      <c r="R69" s="298">
        <v>7.326010337515557</v>
      </c>
      <c r="S69" s="298">
        <v>7.326010337515557</v>
      </c>
      <c r="T69" s="298">
        <v>7.326010337515557</v>
      </c>
      <c r="U69" s="298">
        <v>7.326010337515557</v>
      </c>
    </row>
    <row r="70" spans="1:21" ht="14.4" x14ac:dyDescent="0.3">
      <c r="A70" s="43">
        <v>8</v>
      </c>
      <c r="B70" s="43"/>
      <c r="C70" s="1"/>
      <c r="D70" s="298">
        <v>0.15207091572872264</v>
      </c>
      <c r="E70" s="298">
        <v>5.2891824469196221E-2</v>
      </c>
      <c r="F70" s="298">
        <v>5.7040082585237739E-2</v>
      </c>
      <c r="G70" s="298">
        <v>1.9116049168177565E-2</v>
      </c>
      <c r="H70" s="298">
        <v>2.3564987660073828E-2</v>
      </c>
      <c r="I70" s="298">
        <v>8.5355102461392024E-3</v>
      </c>
      <c r="J70" s="298">
        <v>1.9603945043945102E-2</v>
      </c>
      <c r="K70" s="298">
        <v>1.2636657164619786E-2</v>
      </c>
      <c r="L70" s="298">
        <v>1.0643351525778579E-2</v>
      </c>
      <c r="M70" s="298">
        <v>4.3473848598230228E-3</v>
      </c>
      <c r="N70" s="298">
        <v>2.5415807506222721E-3</v>
      </c>
      <c r="O70" s="298">
        <v>1.2216655309818655E-3</v>
      </c>
      <c r="P70" s="298">
        <v>6.4595461603830819E-3</v>
      </c>
      <c r="Q70" s="298">
        <v>1.3983813924981661E-3</v>
      </c>
      <c r="R70" s="298">
        <v>3.4056178014729927E-3</v>
      </c>
      <c r="S70" s="298">
        <v>3.4056178014729927E-3</v>
      </c>
      <c r="T70" s="298">
        <v>3.4056178014729927E-3</v>
      </c>
      <c r="U70" s="298">
        <v>3.4056178014729927E-3</v>
      </c>
    </row>
    <row r="71" spans="1:21" ht="14.4" x14ac:dyDescent="0.3">
      <c r="A71" s="43">
        <v>9</v>
      </c>
      <c r="B71" s="43"/>
      <c r="C71" s="1"/>
      <c r="D71" s="298">
        <v>1.154353524821659</v>
      </c>
      <c r="E71" s="298">
        <v>3.5914593530271834</v>
      </c>
      <c r="F71" s="298">
        <v>0.66156600737101889</v>
      </c>
      <c r="G71" s="298">
        <v>0.60368769264829547</v>
      </c>
      <c r="H71" s="298">
        <v>0.42447764331950832</v>
      </c>
      <c r="I71" s="298">
        <v>1.0648962156533353</v>
      </c>
      <c r="J71" s="298">
        <v>1.5532650518305111</v>
      </c>
      <c r="K71" s="298">
        <v>0.98716445545758624</v>
      </c>
      <c r="L71" s="298">
        <v>0.68104076968532634</v>
      </c>
      <c r="M71" s="298">
        <v>0.50610374236669098</v>
      </c>
      <c r="N71" s="298">
        <v>0.31868142208094846</v>
      </c>
      <c r="O71" s="298">
        <v>0.22626624756676589</v>
      </c>
      <c r="P71" s="298">
        <v>0.1789795622711387</v>
      </c>
      <c r="Q71" s="298">
        <v>0.13966052871548112</v>
      </c>
      <c r="R71" s="298">
        <v>0.13247290047204982</v>
      </c>
      <c r="S71" s="298">
        <v>0.13247290047204982</v>
      </c>
      <c r="T71" s="298">
        <v>0.13247290047204982</v>
      </c>
      <c r="U71" s="298">
        <v>0.13247290047204982</v>
      </c>
    </row>
    <row r="72" spans="1:21" ht="14.4" x14ac:dyDescent="0.3">
      <c r="A72" s="43">
        <v>10</v>
      </c>
      <c r="B72" s="43"/>
      <c r="C72" s="1"/>
      <c r="D72" s="298">
        <v>0.2294007148283545</v>
      </c>
      <c r="E72" s="298">
        <v>4.67408371331944E-2</v>
      </c>
      <c r="F72" s="298">
        <v>3.9171017790739594E-2</v>
      </c>
      <c r="G72" s="298">
        <v>3.1896110289054799E-2</v>
      </c>
      <c r="H72" s="298">
        <v>9.7072760067846587E-3</v>
      </c>
      <c r="I72" s="298">
        <v>1.3760275349404955E-2</v>
      </c>
      <c r="J72" s="298">
        <v>1.2351163020258928E-2</v>
      </c>
      <c r="K72" s="298">
        <v>7.8770677291336265E-3</v>
      </c>
      <c r="L72" s="298">
        <v>6.6241460677741474E-3</v>
      </c>
      <c r="M72" s="298">
        <v>9.5446111698385379E-4</v>
      </c>
      <c r="N72" s="298">
        <v>5.9000829249238182E-3</v>
      </c>
      <c r="O72" s="298">
        <v>2.8410236973985879E-3</v>
      </c>
      <c r="P72" s="298">
        <v>3.0933034144878684E-3</v>
      </c>
      <c r="Q72" s="298">
        <v>1.7024651539385351E-3</v>
      </c>
      <c r="R72" s="298">
        <v>3.8405411483555876E-3</v>
      </c>
      <c r="S72" s="298">
        <v>3.8405411483555876E-3</v>
      </c>
      <c r="T72" s="298">
        <v>3.8405411483555876E-3</v>
      </c>
      <c r="U72" s="298">
        <v>3.8405411483555876E-3</v>
      </c>
    </row>
    <row r="73" spans="1:21" ht="14.4" x14ac:dyDescent="0.3">
      <c r="A73" s="43">
        <v>11</v>
      </c>
      <c r="B73" s="43"/>
      <c r="C73" s="1"/>
      <c r="D73" s="298">
        <v>69.048567707776243</v>
      </c>
      <c r="E73" s="298">
        <v>33.685348584817774</v>
      </c>
      <c r="F73" s="298">
        <v>15.583787301158949</v>
      </c>
      <c r="G73" s="298">
        <v>6.5636008603412694</v>
      </c>
      <c r="H73" s="298">
        <v>7.6797975872700235</v>
      </c>
      <c r="I73" s="298">
        <v>7.4570840283088478</v>
      </c>
      <c r="J73" s="298">
        <v>6.9055670232180777</v>
      </c>
      <c r="K73" s="298">
        <v>6.5341193000171698</v>
      </c>
      <c r="L73" s="298">
        <v>6.0786150094839924</v>
      </c>
      <c r="M73" s="298">
        <v>5.6151234987755405</v>
      </c>
      <c r="N73" s="298">
        <v>4.7731220793376856</v>
      </c>
      <c r="O73" s="298">
        <v>4.037747204995374</v>
      </c>
      <c r="P73" s="298">
        <v>3.4442053406397228</v>
      </c>
      <c r="Q73" s="298">
        <v>2.6571079286057731</v>
      </c>
      <c r="R73" s="298">
        <v>2.6319335627413896</v>
      </c>
      <c r="S73" s="298">
        <v>2.6319335627413896</v>
      </c>
      <c r="T73" s="298">
        <v>2.6319335627413896</v>
      </c>
      <c r="U73" s="298">
        <v>2.6319335627413896</v>
      </c>
    </row>
    <row r="74" spans="1:21" ht="14.4" x14ac:dyDescent="0.3">
      <c r="A74" s="43">
        <v>12</v>
      </c>
      <c r="B74" s="43"/>
      <c r="C74" s="1"/>
      <c r="D74" s="298">
        <v>4.3926126021925166E-2</v>
      </c>
      <c r="E74" s="298">
        <v>1.2877494467594758E-2</v>
      </c>
      <c r="F74" s="298">
        <v>4.5954157397374695E-3</v>
      </c>
      <c r="G74" s="298">
        <v>5.329225146697902E-3</v>
      </c>
      <c r="H74" s="298">
        <v>1.7455825337836627E-3</v>
      </c>
      <c r="I74" s="298">
        <v>6.1922252654432195E-3</v>
      </c>
      <c r="J74" s="298">
        <v>4.6340307760456886E-3</v>
      </c>
      <c r="K74" s="298">
        <v>1.2658928420938899E-3</v>
      </c>
      <c r="L74" s="298">
        <v>7.2345470714335765E-4</v>
      </c>
      <c r="M74" s="298">
        <v>2.8137542278655172E-3</v>
      </c>
      <c r="N74" s="298">
        <v>3.3387817150023614E-3</v>
      </c>
      <c r="O74" s="298">
        <v>7.0415228820549169E-4</v>
      </c>
      <c r="P74" s="298">
        <v>3.2866827675993235E-3</v>
      </c>
      <c r="Q74" s="298">
        <v>2.129932191298423E-3</v>
      </c>
      <c r="R74" s="298">
        <v>3.0726078205235829E-3</v>
      </c>
      <c r="S74" s="298">
        <v>3.0726078205235829E-3</v>
      </c>
      <c r="T74" s="298">
        <v>3.0726078205235829E-3</v>
      </c>
      <c r="U74" s="298">
        <v>3.0726078205235829E-3</v>
      </c>
    </row>
    <row r="75" spans="1:21" ht="14.4" x14ac:dyDescent="0.3">
      <c r="A75" s="43">
        <v>13</v>
      </c>
      <c r="B75" s="43"/>
      <c r="C75" s="1"/>
      <c r="D75" s="298">
        <v>57.626071680473594</v>
      </c>
      <c r="E75" s="298">
        <v>19.008833408591933</v>
      </c>
      <c r="F75" s="298">
        <v>6.0811074483745449</v>
      </c>
      <c r="G75" s="298">
        <v>6.4203508662030933</v>
      </c>
      <c r="H75" s="298">
        <v>4.053836065316168</v>
      </c>
      <c r="I75" s="298">
        <v>3.136813925533426</v>
      </c>
      <c r="J75" s="298">
        <v>3.2687886565984781</v>
      </c>
      <c r="K75" s="298">
        <v>3.1927019928471165</v>
      </c>
      <c r="L75" s="298">
        <v>3.1590323561450395</v>
      </c>
      <c r="M75" s="298">
        <v>3.1114405010378423</v>
      </c>
      <c r="N75" s="298">
        <v>2.9413990501469054</v>
      </c>
      <c r="O75" s="298">
        <v>2.6891381919916104</v>
      </c>
      <c r="P75" s="298">
        <v>2.4129113867682368</v>
      </c>
      <c r="Q75" s="298">
        <v>1.9019132140355048</v>
      </c>
      <c r="R75" s="298">
        <v>1.9731316672454773</v>
      </c>
      <c r="S75" s="298">
        <v>1.9731316672454773</v>
      </c>
      <c r="T75" s="298">
        <v>1.9731316672454773</v>
      </c>
      <c r="U75" s="298">
        <v>1.9731316672454773</v>
      </c>
    </row>
    <row r="76" spans="1:21" ht="14.4" x14ac:dyDescent="0.3">
      <c r="A76" s="43">
        <v>14</v>
      </c>
      <c r="B76" s="43"/>
      <c r="C76" s="1"/>
      <c r="D76" s="298">
        <v>0.20927403927484672</v>
      </c>
      <c r="E76" s="298">
        <v>5.5602611265487843E-2</v>
      </c>
      <c r="F76" s="298">
        <v>4.0150680983375708E-2</v>
      </c>
      <c r="G76" s="298">
        <v>1.1364022598705132E-2</v>
      </c>
      <c r="H76" s="298">
        <v>1.5808693433503308E-2</v>
      </c>
      <c r="I76" s="298">
        <v>1.1300571663228018E-2</v>
      </c>
      <c r="J76" s="298">
        <v>1.3986444352451872E-2</v>
      </c>
      <c r="K76" s="298">
        <v>1.3726550136797936E-2</v>
      </c>
      <c r="L76" s="298">
        <v>1.2922710779955417E-2</v>
      </c>
      <c r="M76" s="298">
        <v>6.7573395777536377E-3</v>
      </c>
      <c r="N76" s="298">
        <v>6.0541163970223889E-3</v>
      </c>
      <c r="O76" s="298">
        <v>8.8566143641728831E-4</v>
      </c>
      <c r="P76" s="298">
        <v>4.5856434142929501E-3</v>
      </c>
      <c r="Q76" s="298">
        <v>2.3769049086772155E-3</v>
      </c>
      <c r="R76" s="298">
        <v>2.1687917940923906E-3</v>
      </c>
      <c r="S76" s="298">
        <v>2.1687917940923906E-3</v>
      </c>
      <c r="T76" s="298">
        <v>2.1687917940923906E-3</v>
      </c>
      <c r="U76" s="298">
        <v>2.1687917940923906E-3</v>
      </c>
    </row>
    <row r="77" spans="1:21" ht="14.4" x14ac:dyDescent="0.3">
      <c r="A77" s="43">
        <v>15</v>
      </c>
      <c r="B77" s="43"/>
      <c r="C77" s="1"/>
      <c r="D77" s="298">
        <v>1.136851568371505</v>
      </c>
      <c r="E77" s="298">
        <v>0.23095610968918576</v>
      </c>
      <c r="F77" s="298">
        <v>0.45935010470309795</v>
      </c>
      <c r="G77" s="298">
        <v>0.33979479464125767</v>
      </c>
      <c r="H77" s="298">
        <v>0.19877874639876153</v>
      </c>
      <c r="I77" s="298">
        <v>0.6117370588990978</v>
      </c>
      <c r="J77" s="298">
        <v>0.7739736036483279</v>
      </c>
      <c r="K77" s="298">
        <v>0.47689818111624066</v>
      </c>
      <c r="L77" s="298">
        <v>0.32445444976062632</v>
      </c>
      <c r="M77" s="298">
        <v>0.24590737646040681</v>
      </c>
      <c r="N77" s="298">
        <v>0.17863761703347875</v>
      </c>
      <c r="O77" s="298">
        <v>0.15238590146764369</v>
      </c>
      <c r="P77" s="298">
        <v>0.13879587874692803</v>
      </c>
      <c r="Q77" s="298">
        <v>0.10849930149243135</v>
      </c>
      <c r="R77" s="298">
        <v>0.10438708261063094</v>
      </c>
      <c r="S77" s="298">
        <v>0.10438708261063094</v>
      </c>
      <c r="T77" s="298">
        <v>0.10438708261063094</v>
      </c>
      <c r="U77" s="298">
        <v>0.10438708261063094</v>
      </c>
    </row>
    <row r="78" spans="1:21" ht="14.4" x14ac:dyDescent="0.3">
      <c r="A78" s="43">
        <v>16</v>
      </c>
      <c r="B78" s="43"/>
      <c r="C78" s="1"/>
      <c r="D78" s="298">
        <v>0.21260480542905863</v>
      </c>
      <c r="E78" s="298">
        <v>5.5251059810874539E-2</v>
      </c>
      <c r="F78" s="298">
        <v>2.9549060045343564E-2</v>
      </c>
      <c r="G78" s="298">
        <v>1.9149260351853523E-2</v>
      </c>
      <c r="H78" s="298">
        <v>8.8894084206710914E-3</v>
      </c>
      <c r="I78" s="298">
        <v>9.8004503653837914E-3</v>
      </c>
      <c r="J78" s="298">
        <v>9.3355107602731344E-3</v>
      </c>
      <c r="K78" s="298">
        <v>1.1176506405604431E-2</v>
      </c>
      <c r="L78" s="298">
        <v>1.0797812516310075E-2</v>
      </c>
      <c r="M78" s="298">
        <v>4.9258459762198314E-3</v>
      </c>
      <c r="N78" s="298">
        <v>1.5412362332936629E-3</v>
      </c>
      <c r="O78" s="298">
        <v>1.7707278526791228E-3</v>
      </c>
      <c r="P78" s="298">
        <v>3.8905467511792919E-3</v>
      </c>
      <c r="Q78" s="298">
        <v>3.1270051788819786E-3</v>
      </c>
      <c r="R78" s="298">
        <v>2.7546885466757905E-3</v>
      </c>
      <c r="S78" s="298">
        <v>2.7546885466757905E-3</v>
      </c>
      <c r="T78" s="298">
        <v>2.7546885466757905E-3</v>
      </c>
      <c r="U78" s="298">
        <v>2.7546885466757905E-3</v>
      </c>
    </row>
    <row r="79" spans="1:21" ht="14.4" x14ac:dyDescent="0.3">
      <c r="A79" s="43">
        <v>17</v>
      </c>
      <c r="B79" s="43"/>
      <c r="C79" s="1"/>
      <c r="D79" s="299">
        <v>38.305868434141544</v>
      </c>
      <c r="E79" s="298">
        <v>5.2999903687276673</v>
      </c>
      <c r="F79" s="298">
        <v>6.2578007441416821</v>
      </c>
      <c r="G79" s="299">
        <v>3.651615692351549</v>
      </c>
      <c r="H79" s="299">
        <v>3.9361368606820331</v>
      </c>
      <c r="I79" s="299">
        <v>3.5365888642625669</v>
      </c>
      <c r="J79" s="298">
        <v>2.7954962272937816</v>
      </c>
      <c r="K79" s="298">
        <v>2.4617473384512585</v>
      </c>
      <c r="L79" s="298">
        <v>2.1281057585635259</v>
      </c>
      <c r="M79" s="298">
        <v>1.850567348179557</v>
      </c>
      <c r="N79" s="299">
        <v>1.5324828885585096</v>
      </c>
      <c r="O79" s="298">
        <v>1.4251739565426205</v>
      </c>
      <c r="P79" s="298">
        <v>1.4117622874341469</v>
      </c>
      <c r="Q79" s="298">
        <v>1.3485789449567889</v>
      </c>
      <c r="R79" s="298">
        <v>1.3516864824509252</v>
      </c>
      <c r="S79" s="298">
        <v>1.3516864824509252</v>
      </c>
      <c r="T79" s="298">
        <v>1.3516864824509252</v>
      </c>
      <c r="U79" s="298">
        <v>1.3516864824509252</v>
      </c>
    </row>
    <row r="80" spans="1:21" ht="14.4" x14ac:dyDescent="0.3">
      <c r="A80" s="43">
        <v>18</v>
      </c>
      <c r="B80" s="43"/>
      <c r="C80" s="1"/>
      <c r="D80" s="298">
        <v>6.8073317161051342E-3</v>
      </c>
      <c r="E80" s="298">
        <v>4.4855023970696963E-3</v>
      </c>
      <c r="F80" s="298">
        <v>3.7080452251308581E-3</v>
      </c>
      <c r="G80" s="298">
        <v>4.1891794258732719E-3</v>
      </c>
      <c r="H80" s="298">
        <v>2.5800652861531514E-3</v>
      </c>
      <c r="I80" s="298">
        <v>5.1323452366736095E-3</v>
      </c>
      <c r="J80" s="298">
        <v>3.2624660891922676E-3</v>
      </c>
      <c r="K80" s="298">
        <v>9.7248963017647263E-4</v>
      </c>
      <c r="L80" s="298">
        <v>5.3824967182370125E-4</v>
      </c>
      <c r="M80" s="298">
        <v>3.4207800467921257E-3</v>
      </c>
      <c r="N80" s="298">
        <v>2.3022193218101682E-3</v>
      </c>
      <c r="O80" s="298">
        <v>7.1766985210155283E-4</v>
      </c>
      <c r="P80" s="298">
        <v>1.6747979107749516E-3</v>
      </c>
      <c r="Q80" s="298">
        <v>1.0243399597807483E-3</v>
      </c>
      <c r="R80" s="298">
        <v>2.7645882744071495E-3</v>
      </c>
      <c r="S80" s="298">
        <v>2.7645882744071495E-3</v>
      </c>
      <c r="T80" s="298">
        <v>2.7645882744071495E-3</v>
      </c>
      <c r="U80" s="298">
        <v>2.7645882744071495E-3</v>
      </c>
    </row>
    <row r="81" spans="1:21" ht="14.4" x14ac:dyDescent="0.3">
      <c r="A81" s="43">
        <v>19</v>
      </c>
      <c r="B81" s="43"/>
      <c r="C81" s="1"/>
      <c r="D81" s="298">
        <v>28.12675018493254</v>
      </c>
      <c r="E81" s="298">
        <v>5.7694235730205383</v>
      </c>
      <c r="F81" s="298">
        <v>4.4923444139523241</v>
      </c>
      <c r="G81" s="298">
        <v>2.461818140179882</v>
      </c>
      <c r="H81" s="298">
        <v>1.5612033953483941</v>
      </c>
      <c r="I81" s="298">
        <v>1.435344927819425</v>
      </c>
      <c r="J81" s="298">
        <v>1.8152549557696753</v>
      </c>
      <c r="K81" s="298">
        <v>1.7533389509717254</v>
      </c>
      <c r="L81" s="298">
        <v>1.6441205577377018</v>
      </c>
      <c r="M81" s="298">
        <v>1.5015094716885002</v>
      </c>
      <c r="N81" s="298">
        <v>1.1978760529333901</v>
      </c>
      <c r="O81" s="298">
        <v>0.96493434637770215</v>
      </c>
      <c r="P81" s="298">
        <v>0.86230538911097832</v>
      </c>
      <c r="Q81" s="298">
        <v>0.87143134542122158</v>
      </c>
      <c r="R81" s="298">
        <v>0.89423887387252965</v>
      </c>
      <c r="S81" s="298">
        <v>0.89423887387252965</v>
      </c>
      <c r="T81" s="298">
        <v>0.89423887387252965</v>
      </c>
      <c r="U81" s="298">
        <v>0.89423887387252965</v>
      </c>
    </row>
    <row r="82" spans="1:21" ht="14.4" x14ac:dyDescent="0.3">
      <c r="A82" s="43">
        <v>20</v>
      </c>
      <c r="B82" s="43"/>
      <c r="C82" s="1"/>
      <c r="D82" s="298">
        <v>0.16228025606892954</v>
      </c>
      <c r="E82" s="298">
        <v>3.4304595434386999E-2</v>
      </c>
      <c r="F82" s="298">
        <v>3.603503131369204E-2</v>
      </c>
      <c r="G82" s="298">
        <v>1.3414457398225953E-2</v>
      </c>
      <c r="H82" s="298">
        <v>1.3820648138552563E-2</v>
      </c>
      <c r="I82" s="298">
        <v>1.2553645285502412E-2</v>
      </c>
      <c r="J82" s="298">
        <v>1.1519216055600136E-2</v>
      </c>
      <c r="K82" s="298">
        <v>1.2482583619361326E-2</v>
      </c>
      <c r="L82" s="298">
        <v>1.0659586926913772E-2</v>
      </c>
      <c r="M82" s="298">
        <v>3.9990621565117561E-3</v>
      </c>
      <c r="N82" s="298">
        <v>4.289924599988241E-3</v>
      </c>
      <c r="O82" s="298">
        <v>2.3631359410929234E-3</v>
      </c>
      <c r="P82" s="298">
        <v>2.0372139828744758E-3</v>
      </c>
      <c r="Q82" s="298">
        <v>2.6099379219788315E-3</v>
      </c>
      <c r="R82" s="298">
        <v>3.3164014470484933E-3</v>
      </c>
      <c r="S82" s="298">
        <v>3.3164014470484933E-3</v>
      </c>
      <c r="T82" s="298">
        <v>3.3164014470484933E-3</v>
      </c>
      <c r="U82" s="298">
        <v>3.3164014470484933E-3</v>
      </c>
    </row>
    <row r="83" spans="1:21" ht="14.4" x14ac:dyDescent="0.3">
      <c r="A83" s="43">
        <v>21</v>
      </c>
      <c r="B83" s="43"/>
      <c r="C83" s="1"/>
      <c r="D83" s="298">
        <v>0.62329316321319206</v>
      </c>
      <c r="E83" s="298">
        <v>0.38652912360520963</v>
      </c>
      <c r="F83" s="298">
        <v>0.28848587809075404</v>
      </c>
      <c r="G83" s="298">
        <v>0.2327624797312611</v>
      </c>
      <c r="H83" s="298">
        <v>0.12695962714013889</v>
      </c>
      <c r="I83" s="298">
        <v>0.43156831387325317</v>
      </c>
      <c r="J83" s="298">
        <v>0.51232861946084751</v>
      </c>
      <c r="K83" s="298">
        <v>0.33639919482821595</v>
      </c>
      <c r="L83" s="298">
        <v>0.24976274080004948</v>
      </c>
      <c r="M83" s="298">
        <v>0.20143664947276263</v>
      </c>
      <c r="N83" s="298">
        <v>0.14886071320433725</v>
      </c>
      <c r="O83" s="298">
        <v>0.11057082122039739</v>
      </c>
      <c r="P83" s="298">
        <v>8.69095877563483E-2</v>
      </c>
      <c r="Q83" s="298">
        <v>6.469840401868561E-2</v>
      </c>
      <c r="R83" s="298">
        <v>6.207334554446476E-2</v>
      </c>
      <c r="S83" s="298">
        <v>6.207334554446476E-2</v>
      </c>
      <c r="T83" s="298">
        <v>6.207334554446476E-2</v>
      </c>
      <c r="U83" s="298">
        <v>6.207334554446476E-2</v>
      </c>
    </row>
    <row r="84" spans="1:21" ht="14.4" x14ac:dyDescent="0.3">
      <c r="A84" s="43">
        <v>22</v>
      </c>
      <c r="B84" s="43"/>
      <c r="C84" s="1"/>
      <c r="D84" s="298">
        <v>0.10196628651957353</v>
      </c>
      <c r="E84" s="298">
        <v>3.8702088424270906E-2</v>
      </c>
      <c r="F84" s="298">
        <v>3.2940823141321553E-2</v>
      </c>
      <c r="G84" s="298">
        <v>1.4397088226243407E-2</v>
      </c>
      <c r="H84" s="298">
        <v>8.0433131135157904E-3</v>
      </c>
      <c r="I84" s="298">
        <v>9.1411482785596215E-3</v>
      </c>
      <c r="J84" s="298">
        <v>1.3328297513609087E-2</v>
      </c>
      <c r="K84" s="298">
        <v>9.9334339431091864E-3</v>
      </c>
      <c r="L84" s="298">
        <v>8.7776949548354632E-3</v>
      </c>
      <c r="M84" s="298">
        <v>2.8422690440152187E-3</v>
      </c>
      <c r="N84" s="298">
        <v>1.7693174251628295E-3</v>
      </c>
      <c r="O84" s="298">
        <v>2.3683965026528521E-3</v>
      </c>
      <c r="P84" s="298">
        <v>2.2687748359132434E-3</v>
      </c>
      <c r="Q84" s="298">
        <v>3.2956893394252857E-3</v>
      </c>
      <c r="R84" s="298">
        <v>3.1845733198832878E-3</v>
      </c>
      <c r="S84" s="298">
        <v>3.1845733198832878E-3</v>
      </c>
      <c r="T84" s="298">
        <v>3.1845733198832878E-3</v>
      </c>
      <c r="U84" s="298">
        <v>3.1845733198832878E-3</v>
      </c>
    </row>
    <row r="85" spans="1:21" ht="14.4" x14ac:dyDescent="0.3">
      <c r="A85" s="43">
        <v>23</v>
      </c>
      <c r="B85" s="43"/>
      <c r="C85" s="1"/>
      <c r="D85" s="298">
        <v>14.111336248333169</v>
      </c>
      <c r="E85" s="298">
        <v>4.5502762773923147</v>
      </c>
      <c r="F85" s="298">
        <v>2.8173069900787024</v>
      </c>
      <c r="G85" s="298">
        <v>2.0670952688936821</v>
      </c>
      <c r="H85" s="298">
        <v>2.2928087910650583</v>
      </c>
      <c r="I85" s="298">
        <v>1.9472020944612196</v>
      </c>
      <c r="J85" s="298">
        <v>1.3645089433593613</v>
      </c>
      <c r="K85" s="298">
        <v>1.1709027163413299</v>
      </c>
      <c r="L85" s="298">
        <v>1.0449622436221531</v>
      </c>
      <c r="M85" s="298">
        <v>0.98668776275695924</v>
      </c>
      <c r="N85" s="298">
        <v>0.97151910927620677</v>
      </c>
      <c r="O85" s="298">
        <v>0.91499109629030073</v>
      </c>
      <c r="P85" s="298">
        <v>0.81941237005377587</v>
      </c>
      <c r="Q85" s="298">
        <v>0.64151011524075341</v>
      </c>
      <c r="R85" s="298">
        <v>0.64347399672352978</v>
      </c>
      <c r="S85" s="298">
        <v>0.64347399672352978</v>
      </c>
      <c r="T85" s="298">
        <v>0.64347399672352978</v>
      </c>
      <c r="U85" s="298">
        <v>0.64347399672352978</v>
      </c>
    </row>
    <row r="86" spans="1:21" ht="14.4" x14ac:dyDescent="0.3">
      <c r="A86" s="43">
        <v>24</v>
      </c>
      <c r="B86" s="43"/>
      <c r="C86" s="1"/>
      <c r="D86" s="298">
        <v>3.6824454901743818E-2</v>
      </c>
      <c r="E86" s="298">
        <v>9.8382681602157043E-3</v>
      </c>
      <c r="F86" s="298">
        <v>2.4869442257516557E-3</v>
      </c>
      <c r="G86" s="298">
        <v>3.7823320015961076E-3</v>
      </c>
      <c r="H86" s="298">
        <v>3.0035667733548503E-3</v>
      </c>
      <c r="I86" s="298">
        <v>5.3235417328994826E-3</v>
      </c>
      <c r="J86" s="298">
        <v>5.8116700278296428E-3</v>
      </c>
      <c r="K86" s="298">
        <v>2.9855222275943743E-3</v>
      </c>
      <c r="L86" s="298">
        <v>2.3272957918215429E-3</v>
      </c>
      <c r="M86" s="298">
        <v>3.1075268606800422E-3</v>
      </c>
      <c r="N86" s="298">
        <v>1.6642059470906843E-3</v>
      </c>
      <c r="O86" s="298">
        <v>5.0465814106315395E-4</v>
      </c>
      <c r="P86" s="298">
        <v>2.4652728971896356E-3</v>
      </c>
      <c r="Q86" s="298">
        <v>5.6815989694872823E-4</v>
      </c>
      <c r="R86" s="298">
        <v>2.910084521893625E-3</v>
      </c>
      <c r="S86" s="298">
        <v>2.910084521893625E-3</v>
      </c>
      <c r="T86" s="298">
        <v>2.910084521893625E-3</v>
      </c>
      <c r="U86" s="298">
        <v>2.910084521893625E-3</v>
      </c>
    </row>
    <row r="87" spans="1:21" ht="14.4" x14ac:dyDescent="0.3">
      <c r="A87" s="43">
        <v>25</v>
      </c>
      <c r="B87" s="43"/>
      <c r="C87" s="1"/>
      <c r="D87" s="298">
        <v>9.1460847189836905</v>
      </c>
      <c r="E87" s="298">
        <v>3.3287755929835949</v>
      </c>
      <c r="F87" s="298">
        <v>2.4769082641614584</v>
      </c>
      <c r="G87" s="298">
        <v>1.4065816239828657</v>
      </c>
      <c r="H87" s="298">
        <v>0.9812541545579192</v>
      </c>
      <c r="I87" s="298">
        <v>0.87516515937476913</v>
      </c>
      <c r="J87" s="298">
        <v>1.0203047520164361</v>
      </c>
      <c r="K87" s="298">
        <v>0.89181945133108653</v>
      </c>
      <c r="L87" s="298">
        <v>0.77335390981045959</v>
      </c>
      <c r="M87" s="298">
        <v>0.680943962179267</v>
      </c>
      <c r="N87" s="298">
        <v>0.60410783726699213</v>
      </c>
      <c r="O87" s="298">
        <v>0.59625159344747769</v>
      </c>
      <c r="P87" s="298">
        <v>0.57911197721694829</v>
      </c>
      <c r="Q87" s="298">
        <v>0.47588131924725879</v>
      </c>
      <c r="R87" s="298">
        <v>0.48332856078705327</v>
      </c>
      <c r="S87" s="298">
        <v>0.48332856078705327</v>
      </c>
      <c r="T87" s="298">
        <v>0.48332856078705327</v>
      </c>
      <c r="U87" s="298">
        <v>0.48332856078705327</v>
      </c>
    </row>
    <row r="88" spans="1:21" ht="14.4" x14ac:dyDescent="0.3">
      <c r="A88" s="43">
        <v>26</v>
      </c>
      <c r="B88" s="43"/>
      <c r="C88" s="1"/>
      <c r="D88" s="298">
        <v>5.0821504219815294E-2</v>
      </c>
      <c r="E88" s="298">
        <v>5.5062549483802257E-2</v>
      </c>
      <c r="F88" s="298">
        <v>2.6569838221547654E-2</v>
      </c>
      <c r="G88" s="298">
        <v>1.7180710354120391E-2</v>
      </c>
      <c r="H88" s="298">
        <v>1.4413765296386657E-2</v>
      </c>
      <c r="I88" s="298">
        <v>1.340051166752103E-2</v>
      </c>
      <c r="J88" s="298">
        <v>1.2261667576280695E-2</v>
      </c>
      <c r="K88" s="298">
        <v>1.1494261330574136E-2</v>
      </c>
      <c r="L88" s="298">
        <v>1.1502164549246671E-2</v>
      </c>
      <c r="M88" s="298">
        <v>6.3586835670058186E-3</v>
      </c>
      <c r="N88" s="298">
        <v>5.7283366829020497E-3</v>
      </c>
      <c r="O88" s="298">
        <v>1.4156391535011382E-3</v>
      </c>
      <c r="P88" s="298">
        <v>2.35923526977449E-3</v>
      </c>
      <c r="Q88" s="298">
        <v>3.048115692564884E-3</v>
      </c>
      <c r="R88" s="298">
        <v>2.505817916151253E-3</v>
      </c>
      <c r="S88" s="298">
        <v>2.505817916151253E-3</v>
      </c>
      <c r="T88" s="298">
        <v>2.505817916151253E-3</v>
      </c>
      <c r="U88" s="298">
        <v>2.505817916151253E-3</v>
      </c>
    </row>
    <row r="89" spans="1:21" ht="14.4" x14ac:dyDescent="0.3">
      <c r="A89" s="43">
        <v>27</v>
      </c>
      <c r="B89" s="43"/>
      <c r="C89" s="1"/>
      <c r="D89" s="298">
        <v>0.21238680360962095</v>
      </c>
      <c r="E89" s="298">
        <v>0.25707405179893289</v>
      </c>
      <c r="F89" s="298">
        <v>0.16073741316951387</v>
      </c>
      <c r="G89" s="298">
        <v>0.17380962651022741</v>
      </c>
      <c r="H89" s="298">
        <v>9.1193806224074303E-2</v>
      </c>
      <c r="I89" s="298">
        <v>0.33088372878460953</v>
      </c>
      <c r="J89" s="298">
        <v>0.40809218499146371</v>
      </c>
      <c r="K89" s="298">
        <v>0.28326195110267732</v>
      </c>
      <c r="L89" s="298">
        <v>0.20563582476045428</v>
      </c>
      <c r="M89" s="298">
        <v>0.15760505021576746</v>
      </c>
      <c r="N89" s="298">
        <v>9.9377043514666238E-2</v>
      </c>
      <c r="O89" s="298">
        <v>7.5391622206023953E-2</v>
      </c>
      <c r="P89" s="298">
        <v>6.8011485955306775E-2</v>
      </c>
      <c r="Q89" s="298">
        <v>5.56664765461901E-2</v>
      </c>
      <c r="R89" s="298">
        <v>5.3354821022066533E-2</v>
      </c>
      <c r="S89" s="298">
        <v>5.3354821022066533E-2</v>
      </c>
      <c r="T89" s="298">
        <v>5.3354821022066533E-2</v>
      </c>
      <c r="U89" s="298">
        <v>5.3354821022066533E-2</v>
      </c>
    </row>
    <row r="90" spans="1:21" ht="14.4" x14ac:dyDescent="0.3">
      <c r="A90" s="43">
        <v>28</v>
      </c>
      <c r="B90" s="43"/>
      <c r="C90" s="1"/>
      <c r="D90" s="298">
        <v>1.9392625777396737E-2</v>
      </c>
      <c r="E90" s="298">
        <v>4.7102518518670457E-2</v>
      </c>
      <c r="F90" s="298">
        <v>2.8971418661601897E-2</v>
      </c>
      <c r="G90" s="298">
        <v>1.1872541264805246E-2</v>
      </c>
      <c r="H90" s="298">
        <v>6.9611130983163278E-3</v>
      </c>
      <c r="I90" s="298">
        <v>8.5362681900183323E-3</v>
      </c>
      <c r="J90" s="298">
        <v>1.2556658041302614E-2</v>
      </c>
      <c r="K90" s="298">
        <v>1.0537656791068419E-2</v>
      </c>
      <c r="L90" s="298">
        <v>9.2930775732190107E-3</v>
      </c>
      <c r="M90" s="298">
        <v>3.3090135809581808E-3</v>
      </c>
      <c r="N90" s="298">
        <v>8.4429509332862738E-4</v>
      </c>
      <c r="O90" s="298">
        <v>1.7536756837702497E-3</v>
      </c>
      <c r="P90" s="298">
        <v>1.2486380283558422E-3</v>
      </c>
      <c r="Q90" s="298">
        <v>3.2293207653354824E-3</v>
      </c>
      <c r="R90" s="298">
        <v>2.7333925969108054E-3</v>
      </c>
      <c r="S90" s="298">
        <v>2.7333925969108054E-3</v>
      </c>
      <c r="T90" s="298">
        <v>2.7333925969108054E-3</v>
      </c>
      <c r="U90" s="298">
        <v>2.7333925969108054E-3</v>
      </c>
    </row>
    <row r="91" spans="1:21" ht="14.4" x14ac:dyDescent="0.3">
      <c r="A91" s="43">
        <v>29</v>
      </c>
      <c r="B91" s="43"/>
      <c r="C91" s="1"/>
      <c r="D91" s="298">
        <v>6.5146861253923207</v>
      </c>
      <c r="E91" s="298">
        <v>2.6788137999966111</v>
      </c>
      <c r="F91" s="298">
        <v>1.6106667515221753</v>
      </c>
      <c r="G91" s="298">
        <v>1.3975423047728013</v>
      </c>
      <c r="H91" s="298">
        <v>1.3999934630363924</v>
      </c>
      <c r="I91" s="298">
        <v>1.0907850218496227</v>
      </c>
      <c r="J91" s="298">
        <v>0.75870567381450926</v>
      </c>
      <c r="K91" s="298">
        <v>0.75678843679568575</v>
      </c>
      <c r="L91" s="298">
        <v>0.75575983296320848</v>
      </c>
      <c r="M91" s="298">
        <v>0.72478506133268517</v>
      </c>
      <c r="N91" s="298">
        <v>0.61840577400138186</v>
      </c>
      <c r="O91" s="298">
        <v>0.50578743449988961</v>
      </c>
      <c r="P91" s="298">
        <v>0.46727025134098182</v>
      </c>
      <c r="Q91" s="298">
        <v>0.45386743782930422</v>
      </c>
      <c r="R91" s="298">
        <v>0.4514293951690499</v>
      </c>
      <c r="S91" s="298">
        <v>0.4514293951690499</v>
      </c>
      <c r="T91" s="298">
        <v>0.4514293951690499</v>
      </c>
      <c r="U91" s="298">
        <v>0.4514293951690499</v>
      </c>
    </row>
    <row r="92" spans="1:21" ht="14.4" x14ac:dyDescent="0.3">
      <c r="A92" s="43">
        <v>30</v>
      </c>
      <c r="B92" s="43"/>
      <c r="C92" s="1"/>
      <c r="D92" s="298">
        <v>3.4884370898550648E-2</v>
      </c>
      <c r="E92" s="298">
        <v>4.1765772225850796E-3</v>
      </c>
      <c r="F92" s="298">
        <v>3.1945642193693534E-3</v>
      </c>
      <c r="G92" s="298">
        <v>3.60287707209932E-3</v>
      </c>
      <c r="H92" s="298">
        <v>3.2920300374340902E-3</v>
      </c>
      <c r="I92" s="298">
        <v>5.0314868423076246E-3</v>
      </c>
      <c r="J92" s="298">
        <v>4.6053075814346854E-3</v>
      </c>
      <c r="K92" s="298">
        <v>3.6991571943863818E-3</v>
      </c>
      <c r="L92" s="298">
        <v>1.9564019833816105E-3</v>
      </c>
      <c r="M92" s="298">
        <v>2.8717553777810353E-3</v>
      </c>
      <c r="N92" s="298">
        <v>2.6821760992090326E-3</v>
      </c>
      <c r="O92" s="298">
        <v>5.3985110846739104E-4</v>
      </c>
      <c r="P92" s="298">
        <v>8.6189772740157076E-4</v>
      </c>
      <c r="Q92" s="298">
        <v>7.0587971191137216E-4</v>
      </c>
      <c r="R92" s="298">
        <v>2.5967183728580682E-3</v>
      </c>
      <c r="S92" s="298">
        <v>2.5967183728580682E-3</v>
      </c>
      <c r="T92" s="298">
        <v>2.5967183728580682E-3</v>
      </c>
      <c r="U92" s="298">
        <v>2.5967183728580682E-3</v>
      </c>
    </row>
    <row r="93" spans="1:21" ht="14.4" x14ac:dyDescent="0.3">
      <c r="A93" s="43">
        <v>31</v>
      </c>
      <c r="B93" s="43"/>
      <c r="C93" s="1"/>
      <c r="D93" s="298">
        <v>6.3339107327432735</v>
      </c>
      <c r="E93" s="298">
        <v>2.4858685050570775</v>
      </c>
      <c r="F93" s="298">
        <v>1.4322222537619056</v>
      </c>
      <c r="G93" s="298">
        <v>0.82280279165842463</v>
      </c>
      <c r="H93" s="298">
        <v>0.68512353629472578</v>
      </c>
      <c r="I93" s="298">
        <v>0.58112005814292844</v>
      </c>
      <c r="J93" s="298">
        <v>0.56772740214173922</v>
      </c>
      <c r="K93" s="298">
        <v>0.46221863452787271</v>
      </c>
      <c r="L93" s="298">
        <v>0.42486576546865334</v>
      </c>
      <c r="M93" s="298">
        <v>0.43056874893088998</v>
      </c>
      <c r="N93" s="298">
        <v>0.43268010175951643</v>
      </c>
      <c r="O93" s="298">
        <v>0.37617527613812002</v>
      </c>
      <c r="P93" s="298">
        <v>0.31678577460681751</v>
      </c>
      <c r="Q93" s="298">
        <v>0.30877008317967913</v>
      </c>
      <c r="R93" s="298">
        <v>0.3120658886678041</v>
      </c>
      <c r="S93" s="298">
        <v>0.3120658886678041</v>
      </c>
      <c r="T93" s="298">
        <v>0.3120658886678041</v>
      </c>
      <c r="U93" s="298">
        <v>0.3120658886678041</v>
      </c>
    </row>
    <row r="94" spans="1:21" ht="14.4" x14ac:dyDescent="0.3">
      <c r="A94" s="43">
        <v>32</v>
      </c>
      <c r="B94" s="43"/>
      <c r="C94" s="1"/>
      <c r="D94" s="298">
        <v>4.6506205535545839E-2</v>
      </c>
      <c r="E94" s="298">
        <v>3.3260518350729629E-2</v>
      </c>
      <c r="F94" s="298">
        <v>2.9586195514357663E-2</v>
      </c>
      <c r="G94" s="298">
        <v>1.9535797704362808E-2</v>
      </c>
      <c r="H94" s="298">
        <v>1.4563606306652922E-2</v>
      </c>
      <c r="I94" s="298">
        <v>1.305927336868163E-2</v>
      </c>
      <c r="J94" s="298">
        <v>8.8970610246392086E-3</v>
      </c>
      <c r="K94" s="298">
        <v>1.1901375104307985E-2</v>
      </c>
      <c r="L94" s="298">
        <v>1.1921658515740853E-2</v>
      </c>
      <c r="M94" s="298">
        <v>5.9187663071225798E-3</v>
      </c>
      <c r="N94" s="298">
        <v>4.587462629749072E-3</v>
      </c>
      <c r="O94" s="298">
        <v>1.2699646308248702E-3</v>
      </c>
      <c r="P94" s="298">
        <v>2.2444292602197963E-3</v>
      </c>
      <c r="Q94" s="298">
        <v>2.8384966763810126E-3</v>
      </c>
      <c r="R94" s="298">
        <v>2.9287371239286731E-3</v>
      </c>
      <c r="S94" s="298">
        <v>2.9287371239286731E-3</v>
      </c>
      <c r="T94" s="298">
        <v>2.9287371239286731E-3</v>
      </c>
      <c r="U94" s="298">
        <v>2.9287371239286731E-3</v>
      </c>
    </row>
    <row r="95" spans="1:21" ht="14.4" x14ac:dyDescent="0.3">
      <c r="A95" s="43">
        <v>33</v>
      </c>
      <c r="B95" s="43"/>
      <c r="C95" s="1"/>
      <c r="D95" s="298">
        <v>0.30274927892914244</v>
      </c>
      <c r="E95" s="298">
        <v>1.7216657169820748E-2</v>
      </c>
      <c r="F95" s="298">
        <v>0.12233571605865014</v>
      </c>
      <c r="G95" s="298">
        <v>0.13605621192601108</v>
      </c>
      <c r="H95" s="298">
        <v>7.0763148414675126E-2</v>
      </c>
      <c r="I95" s="298">
        <v>0.26563628264177047</v>
      </c>
      <c r="J95" s="298">
        <v>0.34165566585023771</v>
      </c>
      <c r="K95" s="298">
        <v>0.22742267911109676</v>
      </c>
      <c r="L95" s="298">
        <v>0.15381673439332844</v>
      </c>
      <c r="M95" s="298">
        <v>0.11558930646976719</v>
      </c>
      <c r="N95" s="298">
        <v>8.4151409301761251E-2</v>
      </c>
      <c r="O95" s="298">
        <v>6.7503639523961864E-2</v>
      </c>
      <c r="P95" s="298">
        <v>5.6413371607669127E-2</v>
      </c>
      <c r="Q95" s="298">
        <v>4.1647697018963321E-2</v>
      </c>
      <c r="R95" s="298">
        <v>3.9799798597555773E-2</v>
      </c>
      <c r="S95" s="298">
        <v>3.9799798597555773E-2</v>
      </c>
      <c r="T95" s="298">
        <v>3.9799798597555773E-2</v>
      </c>
      <c r="U95" s="298">
        <v>3.9799798597555773E-2</v>
      </c>
    </row>
    <row r="96" spans="1:21" ht="14.4" x14ac:dyDescent="0.3">
      <c r="A96" s="43">
        <v>34</v>
      </c>
      <c r="B96" s="43"/>
      <c r="C96" s="1"/>
      <c r="D96" s="298">
        <v>0.15658261184107439</v>
      </c>
      <c r="E96" s="298">
        <v>6.9206297258360139E-2</v>
      </c>
      <c r="F96" s="298">
        <v>0.11719738000471913</v>
      </c>
      <c r="G96" s="298">
        <v>9.0950515996728487E-2</v>
      </c>
      <c r="H96" s="298">
        <v>5.6069430808107633E-2</v>
      </c>
      <c r="I96" s="298">
        <v>0.18457651004529252</v>
      </c>
      <c r="J96" s="298">
        <v>0.21861320828195963</v>
      </c>
      <c r="K96" s="298">
        <v>0.14805460867942424</v>
      </c>
      <c r="L96" s="298">
        <v>0.10865726471480185</v>
      </c>
      <c r="M96" s="298">
        <v>8.7921961526698345E-2</v>
      </c>
      <c r="N96" s="298">
        <v>5.8256465500538285E-2</v>
      </c>
      <c r="O96" s="298">
        <v>4.4253058727944716E-2</v>
      </c>
      <c r="P96" s="298">
        <v>3.9509788445304235E-2</v>
      </c>
      <c r="Q96" s="298">
        <v>2.9542651780987427E-2</v>
      </c>
      <c r="R96" s="298">
        <v>2.8071591122090556E-2</v>
      </c>
      <c r="S96" s="298">
        <v>2.8071591122090556E-2</v>
      </c>
      <c r="T96" s="298">
        <v>2.8071591122090556E-2</v>
      </c>
      <c r="U96" s="298">
        <v>2.8071591122090556E-2</v>
      </c>
    </row>
    <row r="97" spans="1:21" ht="14.4" x14ac:dyDescent="0.3">
      <c r="A97" s="43">
        <v>35</v>
      </c>
      <c r="B97" s="43"/>
      <c r="C97" s="1"/>
      <c r="D97" s="298">
        <v>5.9029852258662023</v>
      </c>
      <c r="E97" s="298">
        <v>1.4733260588243429</v>
      </c>
      <c r="F97" s="298">
        <v>1.2803616292235322</v>
      </c>
      <c r="G97" s="298">
        <v>1.0290257258239199</v>
      </c>
      <c r="H97" s="298">
        <v>0.95078684693100002</v>
      </c>
      <c r="I97" s="298">
        <v>0.68755518357204037</v>
      </c>
      <c r="J97" s="298">
        <v>0.51648077967213191</v>
      </c>
      <c r="K97" s="298">
        <v>0.5658478637815777</v>
      </c>
      <c r="L97" s="298">
        <v>0.55172205299175037</v>
      </c>
      <c r="M97" s="298">
        <v>0.48796466250698262</v>
      </c>
      <c r="N97" s="298">
        <v>0.39029335703643686</v>
      </c>
      <c r="O97" s="298">
        <v>0.36343466624775511</v>
      </c>
      <c r="P97" s="298">
        <v>0.35166631128246867</v>
      </c>
      <c r="Q97" s="298">
        <v>0.28545240285608292</v>
      </c>
      <c r="R97" s="298">
        <v>0.28281840150514814</v>
      </c>
      <c r="S97" s="298">
        <v>0.28281840150514814</v>
      </c>
      <c r="T97" s="298">
        <v>0.28281840150514814</v>
      </c>
      <c r="U97" s="298">
        <v>0.28281840150514814</v>
      </c>
    </row>
    <row r="98" spans="1:21" ht="14.4" x14ac:dyDescent="0.3">
      <c r="A98" s="43">
        <v>36</v>
      </c>
      <c r="B98" s="43"/>
      <c r="C98" s="1"/>
      <c r="D98" s="298">
        <v>0.15658261184107439</v>
      </c>
      <c r="E98" s="298">
        <v>6.9206297258360139E-2</v>
      </c>
      <c r="F98" s="298">
        <v>0.11719738000471913</v>
      </c>
      <c r="G98" s="298">
        <v>9.0950515996728487E-2</v>
      </c>
      <c r="H98" s="298">
        <v>5.6069430808107633E-2</v>
      </c>
      <c r="I98" s="298">
        <v>0.18457651004529252</v>
      </c>
      <c r="J98" s="298">
        <v>0.21861320828195963</v>
      </c>
      <c r="K98" s="298">
        <v>0.14805460867942424</v>
      </c>
      <c r="L98" s="298">
        <v>0.10865726471480185</v>
      </c>
      <c r="M98" s="298">
        <v>8.7921961526698345E-2</v>
      </c>
      <c r="N98" s="298">
        <v>5.8256465500538285E-2</v>
      </c>
      <c r="O98" s="298">
        <v>4.4253058727944716E-2</v>
      </c>
      <c r="P98" s="298">
        <v>3.9509788445304235E-2</v>
      </c>
      <c r="Q98" s="298">
        <v>2.9542651780987427E-2</v>
      </c>
      <c r="R98" s="298">
        <v>2.8071591122090556E-2</v>
      </c>
      <c r="S98" s="298">
        <v>2.8071591122090556E-2</v>
      </c>
      <c r="T98" s="298">
        <v>2.8071591122090556E-2</v>
      </c>
      <c r="U98" s="298">
        <v>2.8071591122090556E-2</v>
      </c>
    </row>
    <row r="99" spans="1:21" ht="14.4" x14ac:dyDescent="0.3">
      <c r="A99" s="43">
        <v>37</v>
      </c>
      <c r="B99" s="43"/>
      <c r="C99" s="1"/>
      <c r="D99" s="298">
        <v>4.7242605294817244</v>
      </c>
      <c r="E99" s="298">
        <v>1.4147795985274163</v>
      </c>
      <c r="F99" s="298">
        <v>0.86563302172429457</v>
      </c>
      <c r="G99" s="298">
        <v>0.58792408051231626</v>
      </c>
      <c r="H99" s="298">
        <v>0.44571284137714501</v>
      </c>
      <c r="I99" s="298">
        <v>0.35071388358174704</v>
      </c>
      <c r="J99" s="298">
        <v>0.34192356461046053</v>
      </c>
      <c r="K99" s="298">
        <v>0.32136315457507253</v>
      </c>
      <c r="L99" s="298">
        <v>0.32334277343163409</v>
      </c>
      <c r="M99" s="298">
        <v>0.31458122808120276</v>
      </c>
      <c r="N99" s="298">
        <v>0.26038899134139826</v>
      </c>
      <c r="O99" s="298">
        <v>0.23293659142238254</v>
      </c>
      <c r="P99" s="298">
        <v>0.23495243567481122</v>
      </c>
      <c r="Q99" s="298">
        <v>0.1983093021126322</v>
      </c>
      <c r="R99" s="298">
        <v>0.19995839901366486</v>
      </c>
      <c r="S99" s="298">
        <v>0.19995839901366486</v>
      </c>
      <c r="T99" s="298">
        <v>0.19995839901366486</v>
      </c>
      <c r="U99" s="298">
        <v>0.19995839901366486</v>
      </c>
    </row>
    <row r="100" spans="1:21" ht="14.4" x14ac:dyDescent="0.3">
      <c r="A100" s="43">
        <v>38</v>
      </c>
      <c r="B100" s="43"/>
      <c r="C100" s="1"/>
      <c r="D100" s="298">
        <v>0.15658261184107439</v>
      </c>
      <c r="E100" s="298">
        <v>6.9206297258360139E-2</v>
      </c>
      <c r="F100" s="298">
        <v>0.11719738000471913</v>
      </c>
      <c r="G100" s="298">
        <v>9.0950515996728487E-2</v>
      </c>
      <c r="H100" s="298">
        <v>5.6069430808107633E-2</v>
      </c>
      <c r="I100" s="298">
        <v>0.18457651004529252</v>
      </c>
      <c r="J100" s="298">
        <v>0.21861320828195963</v>
      </c>
      <c r="K100" s="298">
        <v>0.14805460867942424</v>
      </c>
      <c r="L100" s="298">
        <v>0.10865726471480185</v>
      </c>
      <c r="M100" s="298">
        <v>8.7921961526698345E-2</v>
      </c>
      <c r="N100" s="298">
        <v>5.8256465500538285E-2</v>
      </c>
      <c r="O100" s="298">
        <v>4.4253058727944716E-2</v>
      </c>
      <c r="P100" s="298">
        <v>3.9509788445304235E-2</v>
      </c>
      <c r="Q100" s="298">
        <v>2.9542651780987427E-2</v>
      </c>
      <c r="R100" s="298">
        <v>2.8071591122090556E-2</v>
      </c>
      <c r="S100" s="298">
        <v>2.8071591122090556E-2</v>
      </c>
      <c r="T100" s="298">
        <v>2.8071591122090556E-2</v>
      </c>
      <c r="U100" s="298">
        <v>2.8071591122090556E-2</v>
      </c>
    </row>
    <row r="101" spans="1:21" ht="14.4" x14ac:dyDescent="0.3">
      <c r="A101" s="43">
        <v>39</v>
      </c>
      <c r="B101" s="43"/>
      <c r="C101" s="1"/>
      <c r="D101" s="298">
        <v>0.2079850899943797</v>
      </c>
      <c r="E101" s="298">
        <v>0.13041647508011303</v>
      </c>
      <c r="F101" s="298">
        <v>0.12947509110634475</v>
      </c>
      <c r="G101" s="298">
        <v>0.11009404781577684</v>
      </c>
      <c r="H101" s="298">
        <v>6.014929527512837E-2</v>
      </c>
      <c r="I101" s="298">
        <v>0.21949671273146126</v>
      </c>
      <c r="J101" s="298">
        <v>0.27640701454444089</v>
      </c>
      <c r="K101" s="298">
        <v>0.17818419975534588</v>
      </c>
      <c r="L101" s="298">
        <v>0.12256174642203793</v>
      </c>
      <c r="M101" s="298">
        <v>9.8387203409769475E-2</v>
      </c>
      <c r="N101" s="298">
        <v>7.1958024598108364E-2</v>
      </c>
      <c r="O101" s="298">
        <v>5.1366620792552581E-2</v>
      </c>
      <c r="P101" s="298">
        <v>4.2850088405828553E-2</v>
      </c>
      <c r="Q101" s="298">
        <v>3.5922322150466021E-2</v>
      </c>
      <c r="R101" s="298">
        <v>3.4556391879303032E-2</v>
      </c>
      <c r="S101" s="298">
        <v>3.4556391879303032E-2</v>
      </c>
      <c r="T101" s="298">
        <v>3.4556391879303032E-2</v>
      </c>
      <c r="U101" s="298">
        <v>3.4556391879303032E-2</v>
      </c>
    </row>
    <row r="102" spans="1:21" ht="14.4" x14ac:dyDescent="0.3">
      <c r="A102" s="43">
        <v>40</v>
      </c>
      <c r="B102" s="43"/>
      <c r="C102" s="1"/>
      <c r="D102" s="298">
        <v>0.15658261184107439</v>
      </c>
      <c r="E102" s="298">
        <v>6.9206297258360139E-2</v>
      </c>
      <c r="F102" s="298">
        <v>0.11719738000471913</v>
      </c>
      <c r="G102" s="298">
        <v>9.0950515996728487E-2</v>
      </c>
      <c r="H102" s="298">
        <v>5.6069430808107633E-2</v>
      </c>
      <c r="I102" s="298">
        <v>0.18457651004529252</v>
      </c>
      <c r="J102" s="298">
        <v>0.21861320828195963</v>
      </c>
      <c r="K102" s="298">
        <v>0.14805460867942424</v>
      </c>
      <c r="L102" s="298">
        <v>0.10865726471480185</v>
      </c>
      <c r="M102" s="298">
        <v>8.7921961526698345E-2</v>
      </c>
      <c r="N102" s="298">
        <v>5.8256465500538285E-2</v>
      </c>
      <c r="O102" s="298">
        <v>4.4253058727944716E-2</v>
      </c>
      <c r="P102" s="298">
        <v>3.9509788445304235E-2</v>
      </c>
      <c r="Q102" s="298">
        <v>2.9542651780987427E-2</v>
      </c>
      <c r="R102" s="298">
        <v>2.8071591122090556E-2</v>
      </c>
      <c r="S102" s="298">
        <v>2.8071591122090556E-2</v>
      </c>
      <c r="T102" s="298">
        <v>2.8071591122090556E-2</v>
      </c>
      <c r="U102" s="298">
        <v>2.8071591122090556E-2</v>
      </c>
    </row>
    <row r="103" spans="1:21" ht="14.4" x14ac:dyDescent="0.3">
      <c r="A103" s="43">
        <v>41</v>
      </c>
      <c r="B103" s="43"/>
      <c r="C103" s="1"/>
      <c r="D103" s="298">
        <v>2.9593523720748518</v>
      </c>
      <c r="E103" s="298">
        <v>1.3960448536050045</v>
      </c>
      <c r="F103" s="298">
        <v>0.9788469484846104</v>
      </c>
      <c r="G103" s="298">
        <v>0.76626902234982497</v>
      </c>
      <c r="H103" s="298">
        <v>0.64986432358583057</v>
      </c>
      <c r="I103" s="298">
        <v>0.49479101470748305</v>
      </c>
      <c r="J103" s="298">
        <v>0.39951328972932304</v>
      </c>
      <c r="K103" s="298">
        <v>0.41594580564321404</v>
      </c>
      <c r="L103" s="298">
        <v>0.37579029347140652</v>
      </c>
      <c r="M103" s="298">
        <v>0.32440122806902955</v>
      </c>
      <c r="N103" s="298">
        <v>0.30529874652047795</v>
      </c>
      <c r="O103" s="298">
        <v>0.272856325769609</v>
      </c>
      <c r="P103" s="298">
        <v>0.23528249165808171</v>
      </c>
      <c r="Q103" s="298">
        <v>0.21930268062364178</v>
      </c>
      <c r="R103" s="298">
        <v>0.21942223358685053</v>
      </c>
      <c r="S103" s="298">
        <v>0.21942223358685053</v>
      </c>
      <c r="T103" s="298">
        <v>0.21942223358685053</v>
      </c>
      <c r="U103" s="298">
        <v>0.21942223358685053</v>
      </c>
    </row>
    <row r="104" spans="1:21" ht="14.4" x14ac:dyDescent="0.3">
      <c r="A104" s="43">
        <v>42</v>
      </c>
      <c r="B104" s="43"/>
      <c r="C104" s="1"/>
      <c r="D104" s="298">
        <v>0.15658261184107439</v>
      </c>
      <c r="E104" s="298">
        <v>6.9206297258360139E-2</v>
      </c>
      <c r="F104" s="298">
        <v>0.11719738000471913</v>
      </c>
      <c r="G104" s="298">
        <v>9.0950515996728487E-2</v>
      </c>
      <c r="H104" s="298">
        <v>5.6069430808107633E-2</v>
      </c>
      <c r="I104" s="298">
        <v>0.18457651004529252</v>
      </c>
      <c r="J104" s="298">
        <v>0.21861320828195963</v>
      </c>
      <c r="K104" s="298">
        <v>0.14805460867942424</v>
      </c>
      <c r="L104" s="298">
        <v>0.10865726471480185</v>
      </c>
      <c r="M104" s="298">
        <v>8.7921961526698345E-2</v>
      </c>
      <c r="N104" s="298">
        <v>5.8256465500538285E-2</v>
      </c>
      <c r="O104" s="298">
        <v>4.4253058727944716E-2</v>
      </c>
      <c r="P104" s="298">
        <v>3.9509788445304235E-2</v>
      </c>
      <c r="Q104" s="298">
        <v>2.9542651780987427E-2</v>
      </c>
      <c r="R104" s="298">
        <v>2.8071591122090556E-2</v>
      </c>
      <c r="S104" s="298">
        <v>2.8071591122090556E-2</v>
      </c>
      <c r="T104" s="298">
        <v>2.8071591122090556E-2</v>
      </c>
      <c r="U104" s="298">
        <v>2.8071591122090556E-2</v>
      </c>
    </row>
    <row r="105" spans="1:21" ht="14.4" x14ac:dyDescent="0.3">
      <c r="A105" s="43">
        <v>43</v>
      </c>
      <c r="B105" s="43"/>
      <c r="C105" s="1"/>
      <c r="D105" s="298">
        <v>2.2178560512821952</v>
      </c>
      <c r="E105" s="298">
        <v>1.1905972320783262</v>
      </c>
      <c r="F105" s="298">
        <v>0.75615175660327605</v>
      </c>
      <c r="G105" s="298">
        <v>0.45362551647456517</v>
      </c>
      <c r="H105" s="298">
        <v>0.28528173727691464</v>
      </c>
      <c r="I105" s="298">
        <v>0.21779752656057286</v>
      </c>
      <c r="J105" s="298">
        <v>0.25538951981730396</v>
      </c>
      <c r="K105" s="298">
        <v>0.24818871965708805</v>
      </c>
      <c r="L105" s="298">
        <v>0.22308863199724832</v>
      </c>
      <c r="M105" s="298">
        <v>0.19779080449305989</v>
      </c>
      <c r="N105" s="298">
        <v>0.1877023014843526</v>
      </c>
      <c r="O105" s="298">
        <v>0.18024721970812474</v>
      </c>
      <c r="P105" s="298">
        <v>0.14969356494618877</v>
      </c>
      <c r="Q105" s="298">
        <v>0.15402172112964774</v>
      </c>
      <c r="R105" s="298">
        <v>0.14788153997371078</v>
      </c>
      <c r="S105" s="298">
        <v>0.14788153997371078</v>
      </c>
      <c r="T105" s="298">
        <v>0.14788153997371078</v>
      </c>
      <c r="U105" s="298">
        <v>0.14788153997371078</v>
      </c>
    </row>
    <row r="106" spans="1:21" ht="14.4" x14ac:dyDescent="0.3">
      <c r="A106" s="43">
        <v>44</v>
      </c>
      <c r="B106" s="43"/>
      <c r="C106" s="1"/>
      <c r="D106" s="298">
        <v>0.15658261184107439</v>
      </c>
      <c r="E106" s="298">
        <v>6.9206297258360139E-2</v>
      </c>
      <c r="F106" s="298">
        <v>0.11719738000471913</v>
      </c>
      <c r="G106" s="298">
        <v>9.0950515996728487E-2</v>
      </c>
      <c r="H106" s="298">
        <v>5.6069430808107633E-2</v>
      </c>
      <c r="I106" s="298">
        <v>0.18457651004529252</v>
      </c>
      <c r="J106" s="298">
        <v>0.21861320828195963</v>
      </c>
      <c r="K106" s="298">
        <v>0.14805460867942424</v>
      </c>
      <c r="L106" s="298">
        <v>0.10865726471480185</v>
      </c>
      <c r="M106" s="298">
        <v>8.7921961526698345E-2</v>
      </c>
      <c r="N106" s="298">
        <v>5.8256465500538285E-2</v>
      </c>
      <c r="O106" s="298">
        <v>4.4253058727944716E-2</v>
      </c>
      <c r="P106" s="298">
        <v>3.9509788445304235E-2</v>
      </c>
      <c r="Q106" s="298">
        <v>2.9542651780987427E-2</v>
      </c>
      <c r="R106" s="298">
        <v>2.8071591122090556E-2</v>
      </c>
      <c r="S106" s="298">
        <v>2.8071591122090556E-2</v>
      </c>
      <c r="T106" s="298">
        <v>2.8071591122090556E-2</v>
      </c>
      <c r="U106" s="298">
        <v>2.8071591122090556E-2</v>
      </c>
    </row>
    <row r="107" spans="1:21" ht="14.4" x14ac:dyDescent="0.3">
      <c r="A107" s="43">
        <v>45</v>
      </c>
      <c r="B107" s="43"/>
      <c r="C107" s="1"/>
      <c r="D107" s="298">
        <v>0.15674381381219379</v>
      </c>
      <c r="E107" s="298">
        <v>6.9135515452953725E-2</v>
      </c>
      <c r="F107" s="298">
        <v>0.11721931861181524</v>
      </c>
      <c r="G107" s="298">
        <v>9.0976276916425139E-2</v>
      </c>
      <c r="H107" s="298">
        <v>5.5974795488511517E-2</v>
      </c>
      <c r="I107" s="298">
        <v>0.18455139999068912</v>
      </c>
      <c r="J107" s="298">
        <v>0.21866515563030009</v>
      </c>
      <c r="K107" s="298">
        <v>0.14808361462956454</v>
      </c>
      <c r="L107" s="298">
        <v>0.10867252849450271</v>
      </c>
      <c r="M107" s="298">
        <v>8.7932880027034033E-2</v>
      </c>
      <c r="N107" s="298">
        <v>5.8261619608528936E-2</v>
      </c>
      <c r="O107" s="298">
        <v>4.4254803859095013E-2</v>
      </c>
      <c r="P107" s="298">
        <v>3.9511622355493263E-2</v>
      </c>
      <c r="Q107" s="298">
        <v>2.9543012509050892E-2</v>
      </c>
      <c r="R107" s="298">
        <v>2.8071590865564936E-2</v>
      </c>
      <c r="S107" s="298">
        <v>2.8071590865564936E-2</v>
      </c>
      <c r="T107" s="298">
        <v>2.8071590865564936E-2</v>
      </c>
      <c r="U107" s="298">
        <v>2.8071590865564936E-2</v>
      </c>
    </row>
    <row r="108" spans="1:21" ht="14.4" x14ac:dyDescent="0.3">
      <c r="A108" s="43">
        <v>46</v>
      </c>
      <c r="B108" s="43"/>
      <c r="C108" s="1"/>
      <c r="D108" s="298">
        <v>0.15658261184107439</v>
      </c>
      <c r="E108" s="298">
        <v>6.9206297258360139E-2</v>
      </c>
      <c r="F108" s="298">
        <v>0.11719738000471913</v>
      </c>
      <c r="G108" s="298">
        <v>9.0950515996728487E-2</v>
      </c>
      <c r="H108" s="298">
        <v>5.6069430808107633E-2</v>
      </c>
      <c r="I108" s="298">
        <v>0.18457651004529252</v>
      </c>
      <c r="J108" s="298">
        <v>0.21861320828195963</v>
      </c>
      <c r="K108" s="298">
        <v>0.14805460867942424</v>
      </c>
      <c r="L108" s="298">
        <v>0.10865726471480185</v>
      </c>
      <c r="M108" s="298">
        <v>8.7921961526698345E-2</v>
      </c>
      <c r="N108" s="298">
        <v>5.8256465500538285E-2</v>
      </c>
      <c r="O108" s="298">
        <v>4.4253058727944716E-2</v>
      </c>
      <c r="P108" s="298">
        <v>3.9509788445304235E-2</v>
      </c>
      <c r="Q108" s="298">
        <v>2.9542651780987427E-2</v>
      </c>
      <c r="R108" s="298">
        <v>2.8071591122090556E-2</v>
      </c>
      <c r="S108" s="298">
        <v>2.8071591122090556E-2</v>
      </c>
      <c r="T108" s="298">
        <v>2.8071591122090556E-2</v>
      </c>
      <c r="U108" s="298">
        <v>2.8071591122090556E-2</v>
      </c>
    </row>
    <row r="109" spans="1:21" ht="14.4" x14ac:dyDescent="0.3">
      <c r="A109" s="43">
        <v>47</v>
      </c>
      <c r="B109" s="43"/>
      <c r="C109" s="1"/>
      <c r="D109" s="298">
        <v>2.3268630691236321</v>
      </c>
      <c r="E109" s="298">
        <v>0.78641478977548207</v>
      </c>
      <c r="F109" s="298">
        <v>0.65683719239534155</v>
      </c>
      <c r="G109" s="298">
        <v>0.58143321676267457</v>
      </c>
      <c r="H109" s="298">
        <v>0.44928960665019158</v>
      </c>
      <c r="I109" s="298">
        <v>0.41294151992551731</v>
      </c>
      <c r="J109" s="298">
        <v>0.2940568330031525</v>
      </c>
      <c r="K109" s="298">
        <v>0.2786885915405366</v>
      </c>
      <c r="L109" s="298">
        <v>0.26697263616116279</v>
      </c>
      <c r="M109" s="298">
        <v>0.26064585390490097</v>
      </c>
      <c r="N109" s="298">
        <v>0.2367936036530196</v>
      </c>
      <c r="O109" s="298">
        <v>0.19038468562778788</v>
      </c>
      <c r="P109" s="298">
        <v>0.18456070692514012</v>
      </c>
      <c r="Q109" s="298">
        <v>0.16108516476637483</v>
      </c>
      <c r="R109" s="298">
        <v>0.15522073313539117</v>
      </c>
      <c r="S109" s="298">
        <v>0.15522073313539117</v>
      </c>
      <c r="T109" s="298">
        <v>0.15522073313539117</v>
      </c>
      <c r="U109" s="298">
        <v>0.15522073313539117</v>
      </c>
    </row>
    <row r="110" spans="1:21" ht="14.4" x14ac:dyDescent="0.3">
      <c r="A110" s="43">
        <v>48</v>
      </c>
      <c r="B110" s="43"/>
      <c r="C110" s="1"/>
      <c r="D110" s="298">
        <v>0.15658261184107439</v>
      </c>
      <c r="E110" s="298">
        <v>6.9206297258360139E-2</v>
      </c>
      <c r="F110" s="298">
        <v>0.11719738000471913</v>
      </c>
      <c r="G110" s="298">
        <v>9.0950515996728487E-2</v>
      </c>
      <c r="H110" s="298">
        <v>5.6069430808107633E-2</v>
      </c>
      <c r="I110" s="298">
        <v>0.18457651004529252</v>
      </c>
      <c r="J110" s="298">
        <v>0.21861320828195963</v>
      </c>
      <c r="K110" s="298">
        <v>0.14805460867942424</v>
      </c>
      <c r="L110" s="298">
        <v>0.10865726471480185</v>
      </c>
      <c r="M110" s="298">
        <v>8.7921961526698345E-2</v>
      </c>
      <c r="N110" s="298">
        <v>5.8256465500538285E-2</v>
      </c>
      <c r="O110" s="298">
        <v>4.4253058727944716E-2</v>
      </c>
      <c r="P110" s="298">
        <v>3.9509788445304235E-2</v>
      </c>
      <c r="Q110" s="298">
        <v>2.9542651780987427E-2</v>
      </c>
      <c r="R110" s="298">
        <v>2.8071591122090556E-2</v>
      </c>
      <c r="S110" s="298">
        <v>2.8071591122090556E-2</v>
      </c>
      <c r="T110" s="298">
        <v>2.8071591122090556E-2</v>
      </c>
      <c r="U110" s="298">
        <v>2.8071591122090556E-2</v>
      </c>
    </row>
    <row r="111" spans="1:21" ht="14.4" x14ac:dyDescent="0.3">
      <c r="A111" s="43">
        <v>49</v>
      </c>
      <c r="B111" s="43"/>
      <c r="C111" s="1"/>
      <c r="D111" s="298">
        <v>2.222090686942058</v>
      </c>
      <c r="E111" s="298">
        <v>0.8231320290067401</v>
      </c>
      <c r="F111" s="298">
        <v>0.54372728367538525</v>
      </c>
      <c r="G111" s="298">
        <v>0.33388586731319231</v>
      </c>
      <c r="H111" s="298">
        <v>0.20472977887589594</v>
      </c>
      <c r="I111" s="298">
        <v>0.16067909526322774</v>
      </c>
      <c r="J111" s="298">
        <v>0.19635848943192444</v>
      </c>
      <c r="K111" s="298">
        <v>0.18022284651166184</v>
      </c>
      <c r="L111" s="298">
        <v>0.15241194609444156</v>
      </c>
      <c r="M111" s="298">
        <v>0.14568078669873447</v>
      </c>
      <c r="N111" s="298">
        <v>0.14316623416465049</v>
      </c>
      <c r="O111" s="298">
        <v>0.11820986355275069</v>
      </c>
      <c r="P111" s="298">
        <v>0.11324661442841535</v>
      </c>
      <c r="Q111" s="298">
        <v>0.10591950094820782</v>
      </c>
      <c r="R111" s="298">
        <v>0.10181373046970461</v>
      </c>
      <c r="S111" s="298">
        <v>0.10181373046970461</v>
      </c>
      <c r="T111" s="298">
        <v>0.10181373046970461</v>
      </c>
      <c r="U111" s="298">
        <v>0.10181373046970461</v>
      </c>
    </row>
    <row r="112" spans="1:21" ht="14.4" x14ac:dyDescent="0.3">
      <c r="A112" s="43">
        <v>50</v>
      </c>
      <c r="B112" s="43"/>
      <c r="C112" s="1"/>
      <c r="D112" s="298">
        <v>0.15658261184107439</v>
      </c>
      <c r="E112" s="298">
        <v>6.9206297258360139E-2</v>
      </c>
      <c r="F112" s="298">
        <v>0.11719738000471913</v>
      </c>
      <c r="G112" s="298">
        <v>9.0950515996728487E-2</v>
      </c>
      <c r="H112" s="298">
        <v>5.6069430808107633E-2</v>
      </c>
      <c r="I112" s="298">
        <v>0.18457651004529252</v>
      </c>
      <c r="J112" s="298">
        <v>0.21861320828195963</v>
      </c>
      <c r="K112" s="298">
        <v>0.14805460867942424</v>
      </c>
      <c r="L112" s="298">
        <v>0.10865726471480185</v>
      </c>
      <c r="M112" s="298">
        <v>8.7921961526698345E-2</v>
      </c>
      <c r="N112" s="298">
        <v>5.8256465500538285E-2</v>
      </c>
      <c r="O112" s="298">
        <v>4.4253058727944716E-2</v>
      </c>
      <c r="P112" s="298">
        <v>3.9509788445304235E-2</v>
      </c>
      <c r="Q112" s="298">
        <v>2.9542651780987427E-2</v>
      </c>
      <c r="R112" s="298">
        <v>2.8071591122090556E-2</v>
      </c>
      <c r="S112" s="298">
        <v>2.8071591122090556E-2</v>
      </c>
      <c r="T112" s="298">
        <v>2.8071591122090556E-2</v>
      </c>
      <c r="U112" s="298">
        <v>2.8071591122090556E-2</v>
      </c>
    </row>
    <row r="113" spans="2:21" x14ac:dyDescent="0.25">
      <c r="D113" s="51"/>
    </row>
    <row r="114" spans="2:21" x14ac:dyDescent="0.25">
      <c r="B114" s="26" t="s">
        <v>5</v>
      </c>
      <c r="D114" s="32">
        <f t="shared" ref="D114:U114" si="7">SQRT(SUMSQ(D64:D112))</f>
        <v>163.93774717643851</v>
      </c>
      <c r="E114" s="32">
        <f t="shared" si="7"/>
        <v>113.48802501155089</v>
      </c>
      <c r="F114" s="32">
        <f t="shared" si="7"/>
        <v>92.201479834948017</v>
      </c>
      <c r="G114" s="32">
        <f t="shared" si="7"/>
        <v>70.914070764570482</v>
      </c>
      <c r="H114" s="32">
        <f t="shared" si="7"/>
        <v>54.750054571794223</v>
      </c>
      <c r="I114" s="32">
        <f t="shared" si="7"/>
        <v>45.409107972180678</v>
      </c>
      <c r="J114" s="32">
        <f t="shared" si="7"/>
        <v>40.452846599409661</v>
      </c>
      <c r="K114" s="32">
        <f t="shared" si="7"/>
        <v>36.567604373048553</v>
      </c>
      <c r="L114" s="32">
        <f t="shared" si="7"/>
        <v>33.722497172696237</v>
      </c>
      <c r="M114" s="32">
        <f t="shared" si="7"/>
        <v>31.537820676686238</v>
      </c>
      <c r="N114" s="32">
        <f t="shared" si="7"/>
        <v>28.353599859458789</v>
      </c>
      <c r="O114" s="32">
        <f t="shared" si="7"/>
        <v>26.003967172553079</v>
      </c>
      <c r="P114" s="32">
        <f t="shared" si="7"/>
        <v>24.160245237926446</v>
      </c>
      <c r="Q114" s="32">
        <f t="shared" si="7"/>
        <v>21.249690073067327</v>
      </c>
      <c r="R114" s="32">
        <f t="shared" si="7"/>
        <v>21.247242746791578</v>
      </c>
      <c r="S114" s="32">
        <f t="shared" si="7"/>
        <v>21.247242746791578</v>
      </c>
      <c r="T114" s="32">
        <f t="shared" si="7"/>
        <v>21.247242746791578</v>
      </c>
      <c r="U114" s="32">
        <f t="shared" si="7"/>
        <v>21.247242746791578</v>
      </c>
    </row>
    <row r="116" spans="2:21" x14ac:dyDescent="0.25">
      <c r="D116" s="32"/>
      <c r="E116" s="32"/>
      <c r="F116" s="32"/>
      <c r="G116" s="32"/>
      <c r="H116" s="32"/>
      <c r="I116" s="32"/>
    </row>
    <row r="118" spans="2:21" x14ac:dyDescent="0.25">
      <c r="D118" s="32"/>
      <c r="E118" s="32"/>
      <c r="F118" s="32"/>
      <c r="G118" s="32"/>
      <c r="H118" s="32"/>
      <c r="I118" s="32"/>
    </row>
  </sheetData>
  <pageMargins left="0.75" right="0.75" top="1" bottom="1" header="0.5" footer="0.5"/>
  <pageSetup scale="86" fitToWidth="2" fitToHeight="2" orientation="portrait" r:id="rId1"/>
  <headerFooter alignWithMargins="0">
    <oddHeader>&amp;R&amp;D
&amp;T
rh</oddHeader>
    <oddFooter>&amp;L&amp;F
&amp;A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U118"/>
  <sheetViews>
    <sheetView workbookViewId="0"/>
  </sheetViews>
  <sheetFormatPr defaultRowHeight="13.2" x14ac:dyDescent="0.25"/>
  <cols>
    <col min="1" max="6" width="9.109375" style="26"/>
    <col min="7" max="7" width="9.109375" style="26" customWidth="1"/>
    <col min="8" max="8" width="10.6640625" style="26" customWidth="1"/>
    <col min="9" max="262" width="9.109375" style="26"/>
    <col min="263" max="263" width="9.5546875" style="26" bestFit="1" customWidth="1"/>
    <col min="264" max="264" width="10.6640625" style="26" customWidth="1"/>
    <col min="265" max="518" width="9.109375" style="26"/>
    <col min="519" max="519" width="9.5546875" style="26" bestFit="1" customWidth="1"/>
    <col min="520" max="520" width="10.6640625" style="26" customWidth="1"/>
    <col min="521" max="774" width="9.109375" style="26"/>
    <col min="775" max="775" width="9.5546875" style="26" bestFit="1" customWidth="1"/>
    <col min="776" max="776" width="10.6640625" style="26" customWidth="1"/>
    <col min="777" max="1030" width="9.109375" style="26"/>
    <col min="1031" max="1031" width="9.5546875" style="26" bestFit="1" customWidth="1"/>
    <col min="1032" max="1032" width="10.6640625" style="26" customWidth="1"/>
    <col min="1033" max="1286" width="9.109375" style="26"/>
    <col min="1287" max="1287" width="9.5546875" style="26" bestFit="1" customWidth="1"/>
    <col min="1288" max="1288" width="10.6640625" style="26" customWidth="1"/>
    <col min="1289" max="1542" width="9.109375" style="26"/>
    <col min="1543" max="1543" width="9.5546875" style="26" bestFit="1" customWidth="1"/>
    <col min="1544" max="1544" width="10.6640625" style="26" customWidth="1"/>
    <col min="1545" max="1798" width="9.109375" style="26"/>
    <col min="1799" max="1799" width="9.5546875" style="26" bestFit="1" customWidth="1"/>
    <col min="1800" max="1800" width="10.6640625" style="26" customWidth="1"/>
    <col min="1801" max="2054" width="9.109375" style="26"/>
    <col min="2055" max="2055" width="9.5546875" style="26" bestFit="1" customWidth="1"/>
    <col min="2056" max="2056" width="10.6640625" style="26" customWidth="1"/>
    <col min="2057" max="2310" width="9.109375" style="26"/>
    <col min="2311" max="2311" width="9.5546875" style="26" bestFit="1" customWidth="1"/>
    <col min="2312" max="2312" width="10.6640625" style="26" customWidth="1"/>
    <col min="2313" max="2566" width="9.109375" style="26"/>
    <col min="2567" max="2567" width="9.5546875" style="26" bestFit="1" customWidth="1"/>
    <col min="2568" max="2568" width="10.6640625" style="26" customWidth="1"/>
    <col min="2569" max="2822" width="9.109375" style="26"/>
    <col min="2823" max="2823" width="9.5546875" style="26" bestFit="1" customWidth="1"/>
    <col min="2824" max="2824" width="10.6640625" style="26" customWidth="1"/>
    <col min="2825" max="3078" width="9.109375" style="26"/>
    <col min="3079" max="3079" width="9.5546875" style="26" bestFit="1" customWidth="1"/>
    <col min="3080" max="3080" width="10.6640625" style="26" customWidth="1"/>
    <col min="3081" max="3334" width="9.109375" style="26"/>
    <col min="3335" max="3335" width="9.5546875" style="26" bestFit="1" customWidth="1"/>
    <col min="3336" max="3336" width="10.6640625" style="26" customWidth="1"/>
    <col min="3337" max="3590" width="9.109375" style="26"/>
    <col min="3591" max="3591" width="9.5546875" style="26" bestFit="1" customWidth="1"/>
    <col min="3592" max="3592" width="10.6640625" style="26" customWidth="1"/>
    <col min="3593" max="3846" width="9.109375" style="26"/>
    <col min="3847" max="3847" width="9.5546875" style="26" bestFit="1" customWidth="1"/>
    <col min="3848" max="3848" width="10.6640625" style="26" customWidth="1"/>
    <col min="3849" max="4102" width="9.109375" style="26"/>
    <col min="4103" max="4103" width="9.5546875" style="26" bestFit="1" customWidth="1"/>
    <col min="4104" max="4104" width="10.6640625" style="26" customWidth="1"/>
    <col min="4105" max="4358" width="9.109375" style="26"/>
    <col min="4359" max="4359" width="9.5546875" style="26" bestFit="1" customWidth="1"/>
    <col min="4360" max="4360" width="10.6640625" style="26" customWidth="1"/>
    <col min="4361" max="4614" width="9.109375" style="26"/>
    <col min="4615" max="4615" width="9.5546875" style="26" bestFit="1" customWidth="1"/>
    <col min="4616" max="4616" width="10.6640625" style="26" customWidth="1"/>
    <col min="4617" max="4870" width="9.109375" style="26"/>
    <col min="4871" max="4871" width="9.5546875" style="26" bestFit="1" customWidth="1"/>
    <col min="4872" max="4872" width="10.6640625" style="26" customWidth="1"/>
    <col min="4873" max="5126" width="9.109375" style="26"/>
    <col min="5127" max="5127" width="9.5546875" style="26" bestFit="1" customWidth="1"/>
    <col min="5128" max="5128" width="10.6640625" style="26" customWidth="1"/>
    <col min="5129" max="5382" width="9.109375" style="26"/>
    <col min="5383" max="5383" width="9.5546875" style="26" bestFit="1" customWidth="1"/>
    <col min="5384" max="5384" width="10.6640625" style="26" customWidth="1"/>
    <col min="5385" max="5638" width="9.109375" style="26"/>
    <col min="5639" max="5639" width="9.5546875" style="26" bestFit="1" customWidth="1"/>
    <col min="5640" max="5640" width="10.6640625" style="26" customWidth="1"/>
    <col min="5641" max="5894" width="9.109375" style="26"/>
    <col min="5895" max="5895" width="9.5546875" style="26" bestFit="1" customWidth="1"/>
    <col min="5896" max="5896" width="10.6640625" style="26" customWidth="1"/>
    <col min="5897" max="6150" width="9.109375" style="26"/>
    <col min="6151" max="6151" width="9.5546875" style="26" bestFit="1" customWidth="1"/>
    <col min="6152" max="6152" width="10.6640625" style="26" customWidth="1"/>
    <col min="6153" max="6406" width="9.109375" style="26"/>
    <col min="6407" max="6407" width="9.5546875" style="26" bestFit="1" customWidth="1"/>
    <col min="6408" max="6408" width="10.6640625" style="26" customWidth="1"/>
    <col min="6409" max="6662" width="9.109375" style="26"/>
    <col min="6663" max="6663" width="9.5546875" style="26" bestFit="1" customWidth="1"/>
    <col min="6664" max="6664" width="10.6640625" style="26" customWidth="1"/>
    <col min="6665" max="6918" width="9.109375" style="26"/>
    <col min="6919" max="6919" width="9.5546875" style="26" bestFit="1" customWidth="1"/>
    <col min="6920" max="6920" width="10.6640625" style="26" customWidth="1"/>
    <col min="6921" max="7174" width="9.109375" style="26"/>
    <col min="7175" max="7175" width="9.5546875" style="26" bestFit="1" customWidth="1"/>
    <col min="7176" max="7176" width="10.6640625" style="26" customWidth="1"/>
    <col min="7177" max="7430" width="9.109375" style="26"/>
    <col min="7431" max="7431" width="9.5546875" style="26" bestFit="1" customWidth="1"/>
    <col min="7432" max="7432" width="10.6640625" style="26" customWidth="1"/>
    <col min="7433" max="7686" width="9.109375" style="26"/>
    <col min="7687" max="7687" width="9.5546875" style="26" bestFit="1" customWidth="1"/>
    <col min="7688" max="7688" width="10.6640625" style="26" customWidth="1"/>
    <col min="7689" max="7942" width="9.109375" style="26"/>
    <col min="7943" max="7943" width="9.5546875" style="26" bestFit="1" customWidth="1"/>
    <col min="7944" max="7944" width="10.6640625" style="26" customWidth="1"/>
    <col min="7945" max="8198" width="9.109375" style="26"/>
    <col min="8199" max="8199" width="9.5546875" style="26" bestFit="1" customWidth="1"/>
    <col min="8200" max="8200" width="10.6640625" style="26" customWidth="1"/>
    <col min="8201" max="8454" width="9.109375" style="26"/>
    <col min="8455" max="8455" width="9.5546875" style="26" bestFit="1" customWidth="1"/>
    <col min="8456" max="8456" width="10.6640625" style="26" customWidth="1"/>
    <col min="8457" max="8710" width="9.109375" style="26"/>
    <col min="8711" max="8711" width="9.5546875" style="26" bestFit="1" customWidth="1"/>
    <col min="8712" max="8712" width="10.6640625" style="26" customWidth="1"/>
    <col min="8713" max="8966" width="9.109375" style="26"/>
    <col min="8967" max="8967" width="9.5546875" style="26" bestFit="1" customWidth="1"/>
    <col min="8968" max="8968" width="10.6640625" style="26" customWidth="1"/>
    <col min="8969" max="9222" width="9.109375" style="26"/>
    <col min="9223" max="9223" width="9.5546875" style="26" bestFit="1" customWidth="1"/>
    <col min="9224" max="9224" width="10.6640625" style="26" customWidth="1"/>
    <col min="9225" max="9478" width="9.109375" style="26"/>
    <col min="9479" max="9479" width="9.5546875" style="26" bestFit="1" customWidth="1"/>
    <col min="9480" max="9480" width="10.6640625" style="26" customWidth="1"/>
    <col min="9481" max="9734" width="9.109375" style="26"/>
    <col min="9735" max="9735" width="9.5546875" style="26" bestFit="1" customWidth="1"/>
    <col min="9736" max="9736" width="10.6640625" style="26" customWidth="1"/>
    <col min="9737" max="9990" width="9.109375" style="26"/>
    <col min="9991" max="9991" width="9.5546875" style="26" bestFit="1" customWidth="1"/>
    <col min="9992" max="9992" width="10.6640625" style="26" customWidth="1"/>
    <col min="9993" max="10246" width="9.109375" style="26"/>
    <col min="10247" max="10247" width="9.5546875" style="26" bestFit="1" customWidth="1"/>
    <col min="10248" max="10248" width="10.6640625" style="26" customWidth="1"/>
    <col min="10249" max="10502" width="9.109375" style="26"/>
    <col min="10503" max="10503" width="9.5546875" style="26" bestFit="1" customWidth="1"/>
    <col min="10504" max="10504" width="10.6640625" style="26" customWidth="1"/>
    <col min="10505" max="10758" width="9.109375" style="26"/>
    <col min="10759" max="10759" width="9.5546875" style="26" bestFit="1" customWidth="1"/>
    <col min="10760" max="10760" width="10.6640625" style="26" customWidth="1"/>
    <col min="10761" max="11014" width="9.109375" style="26"/>
    <col min="11015" max="11015" width="9.5546875" style="26" bestFit="1" customWidth="1"/>
    <col min="11016" max="11016" width="10.6640625" style="26" customWidth="1"/>
    <col min="11017" max="11270" width="9.109375" style="26"/>
    <col min="11271" max="11271" width="9.5546875" style="26" bestFit="1" customWidth="1"/>
    <col min="11272" max="11272" width="10.6640625" style="26" customWidth="1"/>
    <col min="11273" max="11526" width="9.109375" style="26"/>
    <col min="11527" max="11527" width="9.5546875" style="26" bestFit="1" customWidth="1"/>
    <col min="11528" max="11528" width="10.6640625" style="26" customWidth="1"/>
    <col min="11529" max="11782" width="9.109375" style="26"/>
    <col min="11783" max="11783" width="9.5546875" style="26" bestFit="1" customWidth="1"/>
    <col min="11784" max="11784" width="10.6640625" style="26" customWidth="1"/>
    <col min="11785" max="12038" width="9.109375" style="26"/>
    <col min="12039" max="12039" width="9.5546875" style="26" bestFit="1" customWidth="1"/>
    <col min="12040" max="12040" width="10.6640625" style="26" customWidth="1"/>
    <col min="12041" max="12294" width="9.109375" style="26"/>
    <col min="12295" max="12295" width="9.5546875" style="26" bestFit="1" customWidth="1"/>
    <col min="12296" max="12296" width="10.6640625" style="26" customWidth="1"/>
    <col min="12297" max="12550" width="9.109375" style="26"/>
    <col min="12551" max="12551" width="9.5546875" style="26" bestFit="1" customWidth="1"/>
    <col min="12552" max="12552" width="10.6640625" style="26" customWidth="1"/>
    <col min="12553" max="12806" width="9.109375" style="26"/>
    <col min="12807" max="12807" width="9.5546875" style="26" bestFit="1" customWidth="1"/>
    <col min="12808" max="12808" width="10.6640625" style="26" customWidth="1"/>
    <col min="12809" max="13062" width="9.109375" style="26"/>
    <col min="13063" max="13063" width="9.5546875" style="26" bestFit="1" customWidth="1"/>
    <col min="13064" max="13064" width="10.6640625" style="26" customWidth="1"/>
    <col min="13065" max="13318" width="9.109375" style="26"/>
    <col min="13319" max="13319" width="9.5546875" style="26" bestFit="1" customWidth="1"/>
    <col min="13320" max="13320" width="10.6640625" style="26" customWidth="1"/>
    <col min="13321" max="13574" width="9.109375" style="26"/>
    <col min="13575" max="13575" width="9.5546875" style="26" bestFit="1" customWidth="1"/>
    <col min="13576" max="13576" width="10.6640625" style="26" customWidth="1"/>
    <col min="13577" max="13830" width="9.109375" style="26"/>
    <col min="13831" max="13831" width="9.5546875" style="26" bestFit="1" customWidth="1"/>
    <col min="13832" max="13832" width="10.6640625" style="26" customWidth="1"/>
    <col min="13833" max="14086" width="9.109375" style="26"/>
    <col min="14087" max="14087" width="9.5546875" style="26" bestFit="1" customWidth="1"/>
    <col min="14088" max="14088" width="10.6640625" style="26" customWidth="1"/>
    <col min="14089" max="14342" width="9.109375" style="26"/>
    <col min="14343" max="14343" width="9.5546875" style="26" bestFit="1" customWidth="1"/>
    <col min="14344" max="14344" width="10.6640625" style="26" customWidth="1"/>
    <col min="14345" max="14598" width="9.109375" style="26"/>
    <col min="14599" max="14599" width="9.5546875" style="26" bestFit="1" customWidth="1"/>
    <col min="14600" max="14600" width="10.6640625" style="26" customWidth="1"/>
    <col min="14601" max="14854" width="9.109375" style="26"/>
    <col min="14855" max="14855" width="9.5546875" style="26" bestFit="1" customWidth="1"/>
    <col min="14856" max="14856" width="10.6640625" style="26" customWidth="1"/>
    <col min="14857" max="15110" width="9.109375" style="26"/>
    <col min="15111" max="15111" width="9.5546875" style="26" bestFit="1" customWidth="1"/>
    <col min="15112" max="15112" width="10.6640625" style="26" customWidth="1"/>
    <col min="15113" max="15366" width="9.109375" style="26"/>
    <col min="15367" max="15367" width="9.5546875" style="26" bestFit="1" customWidth="1"/>
    <col min="15368" max="15368" width="10.6640625" style="26" customWidth="1"/>
    <col min="15369" max="15622" width="9.109375" style="26"/>
    <col min="15623" max="15623" width="9.5546875" style="26" bestFit="1" customWidth="1"/>
    <col min="15624" max="15624" width="10.6640625" style="26" customWidth="1"/>
    <col min="15625" max="15878" width="9.109375" style="26"/>
    <col min="15879" max="15879" width="9.5546875" style="26" bestFit="1" customWidth="1"/>
    <col min="15880" max="15880" width="10.6640625" style="26" customWidth="1"/>
    <col min="15881" max="16134" width="9.109375" style="26"/>
    <col min="16135" max="16135" width="9.5546875" style="26" bestFit="1" customWidth="1"/>
    <col min="16136" max="16136" width="10.6640625" style="26" customWidth="1"/>
    <col min="16137" max="16384" width="9.109375" style="26"/>
  </cols>
  <sheetData>
    <row r="1" spans="1:15" ht="13.8" thickBot="1" x14ac:dyDescent="0.3">
      <c r="A1" s="84" t="s">
        <v>292</v>
      </c>
      <c r="B1" s="275" t="s">
        <v>402</v>
      </c>
      <c r="C1" s="33">
        <f>Drives!BA35</f>
        <v>38490.017945975058</v>
      </c>
      <c r="D1" s="28" t="s">
        <v>7</v>
      </c>
      <c r="E1" s="300">
        <v>12</v>
      </c>
      <c r="F1" s="301">
        <f>MAX(0.1,E1+100/C1)</f>
        <v>12.002598076211353</v>
      </c>
      <c r="G1" s="36" t="s">
        <v>1</v>
      </c>
      <c r="H1" s="29">
        <f>IF(J1=0,0,H4/J1)</f>
        <v>0</v>
      </c>
      <c r="I1" s="54" t="s">
        <v>94</v>
      </c>
      <c r="J1" s="34">
        <f>Drives!Z35</f>
        <v>0</v>
      </c>
      <c r="K1" s="26" t="s">
        <v>84</v>
      </c>
      <c r="N1" s="254">
        <v>0.95</v>
      </c>
      <c r="O1" s="26" t="s">
        <v>176</v>
      </c>
    </row>
    <row r="2" spans="1:15" x14ac:dyDescent="0.25">
      <c r="A2" s="269" t="s">
        <v>88</v>
      </c>
      <c r="B2" s="276">
        <v>35</v>
      </c>
      <c r="D2" s="26">
        <f>C4+1</f>
        <v>12</v>
      </c>
      <c r="E2" s="41">
        <f>F1-C3</f>
        <v>2.5980762113526623E-3</v>
      </c>
      <c r="F2" s="36"/>
      <c r="G2" s="36"/>
      <c r="J2" s="29">
        <f>IF(J1&gt;=0.6, 0.7+(J1-0.6)*0.75, IF(J1&gt;=0.2, 0.3+(J1-0.2)*1, J1*1.5))</f>
        <v>0</v>
      </c>
      <c r="K2" s="26" t="s">
        <v>60</v>
      </c>
    </row>
    <row r="3" spans="1:15" ht="13.8" thickBot="1" x14ac:dyDescent="0.3">
      <c r="A3" s="270" t="s">
        <v>91</v>
      </c>
      <c r="C3" s="41">
        <f>HLOOKUP($F$1,$D$62:$U$113,(B3+1))</f>
        <v>12</v>
      </c>
      <c r="D3" s="41">
        <f>HLOOKUP($D$2,$D$61:$U$113,(B3+2))</f>
        <v>14</v>
      </c>
      <c r="E3" s="26">
        <f>D3-C3</f>
        <v>2</v>
      </c>
      <c r="F3" s="26">
        <f>IF(E3=0,1,E2/E3)</f>
        <v>1.2990381056763312E-3</v>
      </c>
      <c r="G3" s="32">
        <f>C3+(E3*F3)</f>
        <v>12.002598076211353</v>
      </c>
      <c r="J3" s="31"/>
    </row>
    <row r="4" spans="1:15" ht="13.8" thickBot="1" x14ac:dyDescent="0.3">
      <c r="A4" s="31" t="s">
        <v>90</v>
      </c>
      <c r="B4" s="26">
        <v>1</v>
      </c>
      <c r="C4" s="302">
        <f t="shared" ref="C4:C53" si="0">HLOOKUP($F$1,$D$62:$U$113,(B4+1))</f>
        <v>11</v>
      </c>
      <c r="D4" s="302">
        <f t="shared" ref="D4:D53" si="1">HLOOKUP($D$2,$D$61:$U$113,(B4+2))</f>
        <v>12</v>
      </c>
      <c r="G4" s="27">
        <v>100</v>
      </c>
      <c r="H4" s="34">
        <f>Drives!AR35</f>
        <v>0</v>
      </c>
      <c r="I4" s="26" t="s">
        <v>53</v>
      </c>
    </row>
    <row r="5" spans="1:15" x14ac:dyDescent="0.25">
      <c r="A5" s="31"/>
      <c r="B5" s="26">
        <v>2</v>
      </c>
      <c r="C5" s="52">
        <f t="shared" si="0"/>
        <v>3.9068771982494086E-3</v>
      </c>
      <c r="D5" s="52">
        <f t="shared" si="1"/>
        <v>1.783236037225493E-2</v>
      </c>
      <c r="E5" s="48">
        <f t="shared" ref="E5:E53" si="2">D5-C5</f>
        <v>1.3925483174005521E-2</v>
      </c>
      <c r="F5" s="48">
        <f t="shared" ref="F5:F53" si="3">E5*$F$3</f>
        <v>1.8089733282987756E-5</v>
      </c>
      <c r="G5" s="48">
        <f t="shared" ref="G5:G53" si="4">C5+F5</f>
        <v>3.9249669315323966E-3</v>
      </c>
      <c r="H5" s="30">
        <f>J$2*G5*$H$1/100</f>
        <v>0</v>
      </c>
    </row>
    <row r="6" spans="1:15" x14ac:dyDescent="0.25">
      <c r="A6" s="270" t="s">
        <v>407</v>
      </c>
      <c r="B6" s="26">
        <v>3</v>
      </c>
      <c r="C6" s="52">
        <f t="shared" si="0"/>
        <v>1.512989131711088</v>
      </c>
      <c r="D6" s="52">
        <f t="shared" si="1"/>
        <v>1.2479844012146544</v>
      </c>
      <c r="E6" s="48">
        <f t="shared" si="2"/>
        <v>-0.26500473049643358</v>
      </c>
      <c r="F6" s="48">
        <f t="shared" si="3"/>
        <v>-3.4425124309935375E-4</v>
      </c>
      <c r="G6" s="48">
        <f t="shared" si="4"/>
        <v>1.5126448804679886</v>
      </c>
      <c r="H6" s="30">
        <f t="shared" ref="H6:H53" si="5">J$2*G6*$H$1/100</f>
        <v>0</v>
      </c>
    </row>
    <row r="7" spans="1:15" x14ac:dyDescent="0.25">
      <c r="A7" s="270" t="s">
        <v>92</v>
      </c>
      <c r="B7" s="26">
        <v>4</v>
      </c>
      <c r="C7" s="52">
        <f t="shared" si="0"/>
        <v>3.318391374383355E-3</v>
      </c>
      <c r="D7" s="52">
        <f t="shared" si="1"/>
        <v>1.8380050856337499E-2</v>
      </c>
      <c r="E7" s="48">
        <f t="shared" si="2"/>
        <v>1.5061659481954145E-2</v>
      </c>
      <c r="F7" s="48">
        <f t="shared" si="3"/>
        <v>1.9565669601779663E-5</v>
      </c>
      <c r="G7" s="48">
        <f t="shared" si="4"/>
        <v>3.3379570439851349E-3</v>
      </c>
      <c r="H7" s="30">
        <f t="shared" si="5"/>
        <v>0</v>
      </c>
    </row>
    <row r="8" spans="1:15" x14ac:dyDescent="0.25">
      <c r="A8" s="50"/>
      <c r="B8" s="26">
        <v>5</v>
      </c>
      <c r="C8" s="52">
        <f t="shared" si="0"/>
        <v>24.524377947577921</v>
      </c>
      <c r="D8" s="52">
        <f t="shared" si="1"/>
        <v>22.666145948519805</v>
      </c>
      <c r="E8" s="48">
        <f t="shared" si="2"/>
        <v>-1.8582319990581162</v>
      </c>
      <c r="F8" s="48">
        <f t="shared" si="3"/>
        <v>-2.4139141759635971E-3</v>
      </c>
      <c r="G8" s="48">
        <f t="shared" si="4"/>
        <v>24.521964033401957</v>
      </c>
      <c r="H8" s="30">
        <f t="shared" si="5"/>
        <v>0</v>
      </c>
    </row>
    <row r="9" spans="1:15" x14ac:dyDescent="0.25">
      <c r="A9" s="50"/>
      <c r="B9" s="26">
        <v>6</v>
      </c>
      <c r="C9" s="52">
        <f t="shared" si="0"/>
        <v>2.1005572354824645E-3</v>
      </c>
      <c r="D9" s="52">
        <f t="shared" si="1"/>
        <v>9.2816222816082712E-3</v>
      </c>
      <c r="E9" s="48">
        <f t="shared" si="2"/>
        <v>7.1810650461258067E-3</v>
      </c>
      <c r="F9" s="48">
        <f t="shared" si="3"/>
        <v>9.3284771342577843E-6</v>
      </c>
      <c r="G9" s="48">
        <f t="shared" si="4"/>
        <v>2.1098857126167223E-3</v>
      </c>
      <c r="H9" s="30">
        <f t="shared" si="5"/>
        <v>0</v>
      </c>
    </row>
    <row r="10" spans="1:15" x14ac:dyDescent="0.25">
      <c r="B10" s="26">
        <v>7</v>
      </c>
      <c r="C10" s="52">
        <f t="shared" si="0"/>
        <v>6.6273860488121423</v>
      </c>
      <c r="D10" s="52">
        <f t="shared" si="1"/>
        <v>6.8022403042729351</v>
      </c>
      <c r="E10" s="48">
        <f t="shared" si="2"/>
        <v>0.17485425546079281</v>
      </c>
      <c r="F10" s="48">
        <f t="shared" si="3"/>
        <v>2.2714234078323358E-4</v>
      </c>
      <c r="G10" s="48">
        <f t="shared" si="4"/>
        <v>6.6276131911529257</v>
      </c>
      <c r="H10" s="30">
        <f t="shared" si="5"/>
        <v>0</v>
      </c>
    </row>
    <row r="11" spans="1:15" x14ac:dyDescent="0.25">
      <c r="B11" s="26">
        <v>8</v>
      </c>
      <c r="C11" s="52">
        <f t="shared" si="0"/>
        <v>1.2216655309818655E-3</v>
      </c>
      <c r="D11" s="52">
        <f t="shared" si="1"/>
        <v>6.4595461603830819E-3</v>
      </c>
      <c r="E11" s="48">
        <f t="shared" si="2"/>
        <v>5.2378806294012164E-3</v>
      </c>
      <c r="F11" s="48">
        <f t="shared" si="3"/>
        <v>6.804206530576105E-6</v>
      </c>
      <c r="G11" s="48">
        <f t="shared" si="4"/>
        <v>1.2284697375124416E-3</v>
      </c>
      <c r="H11" s="30">
        <f t="shared" si="5"/>
        <v>0</v>
      </c>
    </row>
    <row r="12" spans="1:15" x14ac:dyDescent="0.25">
      <c r="B12" s="26">
        <v>9</v>
      </c>
      <c r="C12" s="52">
        <f t="shared" si="0"/>
        <v>0.22626624756676589</v>
      </c>
      <c r="D12" s="52">
        <f t="shared" si="1"/>
        <v>0.1789795622711387</v>
      </c>
      <c r="E12" s="48">
        <f t="shared" si="2"/>
        <v>-4.7286685295627184E-2</v>
      </c>
      <c r="F12" s="48">
        <f t="shared" si="3"/>
        <v>-6.142720609014436E-5</v>
      </c>
      <c r="G12" s="48">
        <f t="shared" si="4"/>
        <v>0.22620482036067574</v>
      </c>
      <c r="H12" s="30">
        <f t="shared" si="5"/>
        <v>0</v>
      </c>
    </row>
    <row r="13" spans="1:15" x14ac:dyDescent="0.25">
      <c r="B13" s="26">
        <v>10</v>
      </c>
      <c r="C13" s="52">
        <f t="shared" si="0"/>
        <v>2.8410236973985879E-3</v>
      </c>
      <c r="D13" s="52">
        <f t="shared" si="1"/>
        <v>3.0933034144878684E-3</v>
      </c>
      <c r="E13" s="48">
        <f t="shared" si="2"/>
        <v>2.5227971708928053E-4</v>
      </c>
      <c r="F13" s="48">
        <f t="shared" si="3"/>
        <v>3.2772096578821972E-7</v>
      </c>
      <c r="G13" s="48">
        <f t="shared" si="4"/>
        <v>2.8413514183643763E-3</v>
      </c>
      <c r="H13" s="30">
        <f t="shared" si="5"/>
        <v>0</v>
      </c>
    </row>
    <row r="14" spans="1:15" x14ac:dyDescent="0.25">
      <c r="B14" s="26">
        <v>11</v>
      </c>
      <c r="C14" s="52">
        <f t="shared" si="0"/>
        <v>4.037747204995374</v>
      </c>
      <c r="D14" s="52">
        <f t="shared" si="1"/>
        <v>3.4442053406397228</v>
      </c>
      <c r="E14" s="48">
        <f t="shared" si="2"/>
        <v>-0.59354186435565115</v>
      </c>
      <c r="F14" s="48">
        <f t="shared" si="3"/>
        <v>-7.7103349911216302E-4</v>
      </c>
      <c r="G14" s="48">
        <f t="shared" si="4"/>
        <v>4.0369761714962618</v>
      </c>
      <c r="H14" s="30">
        <f t="shared" si="5"/>
        <v>0</v>
      </c>
    </row>
    <row r="15" spans="1:15" x14ac:dyDescent="0.25">
      <c r="B15" s="26">
        <v>12</v>
      </c>
      <c r="C15" s="52">
        <f t="shared" si="0"/>
        <v>7.0415228820549169E-4</v>
      </c>
      <c r="D15" s="52">
        <f t="shared" si="1"/>
        <v>3.2866827675993235E-3</v>
      </c>
      <c r="E15" s="48">
        <f t="shared" si="2"/>
        <v>2.5825304793938319E-3</v>
      </c>
      <c r="F15" s="48">
        <f t="shared" si="3"/>
        <v>3.3548055018031507E-6</v>
      </c>
      <c r="G15" s="48">
        <f t="shared" si="4"/>
        <v>7.0750709370729487E-4</v>
      </c>
      <c r="H15" s="30">
        <f t="shared" si="5"/>
        <v>0</v>
      </c>
    </row>
    <row r="16" spans="1:15" x14ac:dyDescent="0.25">
      <c r="B16" s="26">
        <v>13</v>
      </c>
      <c r="C16" s="52">
        <f t="shared" si="0"/>
        <v>2.6891381919916104</v>
      </c>
      <c r="D16" s="52">
        <f t="shared" si="1"/>
        <v>2.4129113867682368</v>
      </c>
      <c r="E16" s="48">
        <f t="shared" si="2"/>
        <v>-0.27622680522337362</v>
      </c>
      <c r="F16" s="48">
        <f t="shared" si="3"/>
        <v>-3.5882914579439616E-4</v>
      </c>
      <c r="G16" s="48">
        <f t="shared" si="4"/>
        <v>2.6887793628458159</v>
      </c>
      <c r="H16" s="30">
        <f t="shared" si="5"/>
        <v>0</v>
      </c>
    </row>
    <row r="17" spans="2:8" x14ac:dyDescent="0.25">
      <c r="B17" s="26">
        <v>14</v>
      </c>
      <c r="C17" s="52">
        <f t="shared" si="0"/>
        <v>8.8566143641728831E-4</v>
      </c>
      <c r="D17" s="52">
        <f t="shared" si="1"/>
        <v>4.5856434142929501E-3</v>
      </c>
      <c r="E17" s="48">
        <f t="shared" si="2"/>
        <v>3.6999819778756617E-3</v>
      </c>
      <c r="F17" s="48">
        <f t="shared" si="3"/>
        <v>4.8064175795761643E-6</v>
      </c>
      <c r="G17" s="48">
        <f t="shared" si="4"/>
        <v>8.9046785399686447E-4</v>
      </c>
      <c r="H17" s="30">
        <f t="shared" si="5"/>
        <v>0</v>
      </c>
    </row>
    <row r="18" spans="2:8" x14ac:dyDescent="0.25">
      <c r="B18" s="26">
        <v>15</v>
      </c>
      <c r="C18" s="52">
        <f t="shared" si="0"/>
        <v>0.15238590146764369</v>
      </c>
      <c r="D18" s="52">
        <f t="shared" si="1"/>
        <v>0.13879587874692803</v>
      </c>
      <c r="E18" s="48">
        <f t="shared" si="2"/>
        <v>-1.3590022720715661E-2</v>
      </c>
      <c r="F18" s="48">
        <f t="shared" si="3"/>
        <v>-1.7653957371216773E-5</v>
      </c>
      <c r="G18" s="48">
        <f t="shared" si="4"/>
        <v>0.15236824751027248</v>
      </c>
      <c r="H18" s="30">
        <f t="shared" si="5"/>
        <v>0</v>
      </c>
    </row>
    <row r="19" spans="2:8" x14ac:dyDescent="0.25">
      <c r="B19" s="26">
        <v>16</v>
      </c>
      <c r="C19" s="52">
        <f t="shared" si="0"/>
        <v>1.7707278526791228E-3</v>
      </c>
      <c r="D19" s="52">
        <f t="shared" si="1"/>
        <v>3.8905467511792919E-3</v>
      </c>
      <c r="E19" s="48">
        <f t="shared" si="2"/>
        <v>2.1198188985001691E-3</v>
      </c>
      <c r="F19" s="48">
        <f t="shared" si="3"/>
        <v>2.7537255262845468E-6</v>
      </c>
      <c r="G19" s="48">
        <f t="shared" si="4"/>
        <v>1.7734815782054073E-3</v>
      </c>
      <c r="H19" s="30">
        <f t="shared" si="5"/>
        <v>0</v>
      </c>
    </row>
    <row r="20" spans="2:8" x14ac:dyDescent="0.25">
      <c r="B20" s="26">
        <v>17</v>
      </c>
      <c r="C20" s="52">
        <f t="shared" si="0"/>
        <v>1.4251739565426205</v>
      </c>
      <c r="D20" s="52">
        <f t="shared" si="1"/>
        <v>1.4117622874341469</v>
      </c>
      <c r="E20" s="48">
        <f t="shared" si="2"/>
        <v>-1.3411669108473578E-2</v>
      </c>
      <c r="F20" s="48">
        <f t="shared" si="3"/>
        <v>-1.7422269232629287E-5</v>
      </c>
      <c r="G20" s="48">
        <f t="shared" si="4"/>
        <v>1.4251565342733878</v>
      </c>
      <c r="H20" s="30">
        <f t="shared" si="5"/>
        <v>0</v>
      </c>
    </row>
    <row r="21" spans="2:8" x14ac:dyDescent="0.25">
      <c r="B21" s="26">
        <v>18</v>
      </c>
      <c r="C21" s="52">
        <f t="shared" si="0"/>
        <v>7.1766985210155283E-4</v>
      </c>
      <c r="D21" s="52">
        <f t="shared" si="1"/>
        <v>1.6747979107749516E-3</v>
      </c>
      <c r="E21" s="48">
        <f t="shared" si="2"/>
        <v>9.5712805867339873E-4</v>
      </c>
      <c r="F21" s="48">
        <f t="shared" si="3"/>
        <v>1.2433458202287563E-6</v>
      </c>
      <c r="G21" s="48">
        <f t="shared" si="4"/>
        <v>7.1891319792178156E-4</v>
      </c>
      <c r="H21" s="30">
        <f t="shared" si="5"/>
        <v>0</v>
      </c>
    </row>
    <row r="22" spans="2:8" x14ac:dyDescent="0.25">
      <c r="B22" s="26">
        <v>19</v>
      </c>
      <c r="C22" s="52">
        <f t="shared" si="0"/>
        <v>0.96493434637770215</v>
      </c>
      <c r="D22" s="52">
        <f t="shared" si="1"/>
        <v>0.86230538911097832</v>
      </c>
      <c r="E22" s="48">
        <f t="shared" si="2"/>
        <v>-0.10262895726672383</v>
      </c>
      <c r="F22" s="48">
        <f t="shared" si="3"/>
        <v>-1.3331892623530205E-4</v>
      </c>
      <c r="G22" s="48">
        <f t="shared" si="4"/>
        <v>0.9648010274514669</v>
      </c>
      <c r="H22" s="30">
        <f t="shared" si="5"/>
        <v>0</v>
      </c>
    </row>
    <row r="23" spans="2:8" x14ac:dyDescent="0.25">
      <c r="B23" s="26">
        <v>20</v>
      </c>
      <c r="C23" s="52">
        <f t="shared" si="0"/>
        <v>2.3631359410929234E-3</v>
      </c>
      <c r="D23" s="52">
        <f t="shared" si="1"/>
        <v>2.0372139828744758E-3</v>
      </c>
      <c r="E23" s="48">
        <f t="shared" si="2"/>
        <v>-3.2592195821844758E-4</v>
      </c>
      <c r="F23" s="48">
        <f t="shared" si="3"/>
        <v>-4.233850432024125E-7</v>
      </c>
      <c r="G23" s="48">
        <f t="shared" si="4"/>
        <v>2.3627125560497209E-3</v>
      </c>
      <c r="H23" s="30">
        <f t="shared" si="5"/>
        <v>0</v>
      </c>
    </row>
    <row r="24" spans="2:8" x14ac:dyDescent="0.25">
      <c r="B24" s="26">
        <v>21</v>
      </c>
      <c r="C24" s="52">
        <f t="shared" si="0"/>
        <v>0.11057082122039739</v>
      </c>
      <c r="D24" s="52">
        <f t="shared" si="1"/>
        <v>8.69095877563483E-2</v>
      </c>
      <c r="E24" s="48">
        <f t="shared" si="2"/>
        <v>-2.3661233464049095E-2</v>
      </c>
      <c r="F24" s="48">
        <f t="shared" si="3"/>
        <v>-3.0736843897103753E-5</v>
      </c>
      <c r="G24" s="48">
        <f t="shared" si="4"/>
        <v>0.11054008437650029</v>
      </c>
      <c r="H24" s="30">
        <f t="shared" si="5"/>
        <v>0</v>
      </c>
    </row>
    <row r="25" spans="2:8" x14ac:dyDescent="0.25">
      <c r="B25" s="26">
        <v>22</v>
      </c>
      <c r="C25" s="52">
        <f t="shared" si="0"/>
        <v>2.3683965026528521E-3</v>
      </c>
      <c r="D25" s="52">
        <f t="shared" si="1"/>
        <v>2.2687748359132434E-3</v>
      </c>
      <c r="E25" s="48">
        <f t="shared" si="2"/>
        <v>-9.962166673960866E-5</v>
      </c>
      <c r="F25" s="48">
        <f t="shared" si="3"/>
        <v>-1.2941234124573999E-7</v>
      </c>
      <c r="G25" s="48">
        <f t="shared" si="4"/>
        <v>2.3682670903116066E-3</v>
      </c>
      <c r="H25" s="30">
        <f t="shared" si="5"/>
        <v>0</v>
      </c>
    </row>
    <row r="26" spans="2:8" x14ac:dyDescent="0.25">
      <c r="B26" s="26">
        <v>23</v>
      </c>
      <c r="C26" s="52">
        <f t="shared" si="0"/>
        <v>0.91499109629030073</v>
      </c>
      <c r="D26" s="52">
        <f t="shared" si="1"/>
        <v>0.81941237005377587</v>
      </c>
      <c r="E26" s="48">
        <f t="shared" si="2"/>
        <v>-9.5578726236524858E-2</v>
      </c>
      <c r="F26" s="48">
        <f t="shared" si="3"/>
        <v>-1.2416040747325189E-4</v>
      </c>
      <c r="G26" s="48">
        <f t="shared" si="4"/>
        <v>0.91486693588282753</v>
      </c>
      <c r="H26" s="30">
        <f t="shared" si="5"/>
        <v>0</v>
      </c>
    </row>
    <row r="27" spans="2:8" x14ac:dyDescent="0.25">
      <c r="B27" s="26">
        <v>24</v>
      </c>
      <c r="C27" s="52">
        <f t="shared" si="0"/>
        <v>5.0465814106315395E-4</v>
      </c>
      <c r="D27" s="52">
        <f t="shared" si="1"/>
        <v>2.4652728971896356E-3</v>
      </c>
      <c r="E27" s="48">
        <f t="shared" si="2"/>
        <v>1.9606147561264816E-3</v>
      </c>
      <c r="F27" s="48">
        <f t="shared" si="3"/>
        <v>2.5469132787596067E-6</v>
      </c>
      <c r="G27" s="48">
        <f t="shared" si="4"/>
        <v>5.072050543419135E-4</v>
      </c>
      <c r="H27" s="30">
        <f t="shared" si="5"/>
        <v>0</v>
      </c>
    </row>
    <row r="28" spans="2:8" x14ac:dyDescent="0.25">
      <c r="B28" s="26">
        <v>25</v>
      </c>
      <c r="C28" s="52">
        <f t="shared" si="0"/>
        <v>0.59625159344747769</v>
      </c>
      <c r="D28" s="52">
        <f t="shared" si="1"/>
        <v>0.57911197721694829</v>
      </c>
      <c r="E28" s="48">
        <f t="shared" si="2"/>
        <v>-1.7139616230529398E-2</v>
      </c>
      <c r="F28" s="48">
        <f t="shared" si="3"/>
        <v>-2.2265014600126207E-5</v>
      </c>
      <c r="G28" s="48">
        <f t="shared" si="4"/>
        <v>0.59622932843287757</v>
      </c>
      <c r="H28" s="30">
        <f t="shared" si="5"/>
        <v>0</v>
      </c>
    </row>
    <row r="29" spans="2:8" x14ac:dyDescent="0.25">
      <c r="B29" s="26">
        <v>26</v>
      </c>
      <c r="C29" s="52">
        <f t="shared" si="0"/>
        <v>1.4156391535011382E-3</v>
      </c>
      <c r="D29" s="52">
        <f t="shared" si="1"/>
        <v>2.35923526977449E-3</v>
      </c>
      <c r="E29" s="48">
        <f t="shared" si="2"/>
        <v>9.4359611627335173E-4</v>
      </c>
      <c r="F29" s="48">
        <f t="shared" si="3"/>
        <v>1.2257673114072779E-6</v>
      </c>
      <c r="G29" s="48">
        <f t="shared" si="4"/>
        <v>1.4168649208125455E-3</v>
      </c>
      <c r="H29" s="30">
        <f t="shared" si="5"/>
        <v>0</v>
      </c>
    </row>
    <row r="30" spans="2:8" x14ac:dyDescent="0.25">
      <c r="B30" s="26">
        <v>27</v>
      </c>
      <c r="C30" s="52">
        <f t="shared" si="0"/>
        <v>7.5391622206023953E-2</v>
      </c>
      <c r="D30" s="52">
        <f t="shared" si="1"/>
        <v>6.8011485955306775E-2</v>
      </c>
      <c r="E30" s="48">
        <f t="shared" si="2"/>
        <v>-7.3801362507171786E-3</v>
      </c>
      <c r="F30" s="48">
        <f t="shared" si="3"/>
        <v>-9.5870782147648649E-6</v>
      </c>
      <c r="G30" s="48">
        <f t="shared" si="4"/>
        <v>7.5382035127809194E-2</v>
      </c>
      <c r="H30" s="30">
        <f t="shared" si="5"/>
        <v>0</v>
      </c>
    </row>
    <row r="31" spans="2:8" x14ac:dyDescent="0.25">
      <c r="B31" s="26">
        <v>28</v>
      </c>
      <c r="C31" s="52">
        <f t="shared" si="0"/>
        <v>1.7536756837702497E-3</v>
      </c>
      <c r="D31" s="52">
        <f t="shared" si="1"/>
        <v>1.2486380283558422E-3</v>
      </c>
      <c r="E31" s="48">
        <f t="shared" si="2"/>
        <v>-5.0503765541440749E-4</v>
      </c>
      <c r="F31" s="48">
        <f t="shared" si="3"/>
        <v>-6.5606315918474756E-7</v>
      </c>
      <c r="G31" s="48">
        <f t="shared" si="4"/>
        <v>1.7530196206110649E-3</v>
      </c>
      <c r="H31" s="30">
        <f t="shared" si="5"/>
        <v>0</v>
      </c>
    </row>
    <row r="32" spans="2:8" x14ac:dyDescent="0.25">
      <c r="B32" s="26">
        <v>29</v>
      </c>
      <c r="C32" s="52">
        <f t="shared" si="0"/>
        <v>0.50578743449988961</v>
      </c>
      <c r="D32" s="52">
        <f t="shared" si="1"/>
        <v>0.46727025134098182</v>
      </c>
      <c r="E32" s="48">
        <f t="shared" si="2"/>
        <v>-3.8517183158907786E-2</v>
      </c>
      <c r="F32" s="48">
        <f t="shared" si="3"/>
        <v>-5.0035288646735858E-5</v>
      </c>
      <c r="G32" s="48">
        <f t="shared" si="4"/>
        <v>0.50573739921124283</v>
      </c>
      <c r="H32" s="30">
        <f t="shared" si="5"/>
        <v>0</v>
      </c>
    </row>
    <row r="33" spans="2:8" x14ac:dyDescent="0.25">
      <c r="B33" s="26">
        <v>30</v>
      </c>
      <c r="C33" s="52">
        <f t="shared" si="0"/>
        <v>5.3985110846739104E-4</v>
      </c>
      <c r="D33" s="52">
        <f t="shared" si="1"/>
        <v>8.6189772740157076E-4</v>
      </c>
      <c r="E33" s="48">
        <f t="shared" si="2"/>
        <v>3.2204661893417972E-4</v>
      </c>
      <c r="F33" s="48">
        <f t="shared" si="3"/>
        <v>4.1835082979972412E-7</v>
      </c>
      <c r="G33" s="48">
        <f t="shared" si="4"/>
        <v>5.4026945929719079E-4</v>
      </c>
      <c r="H33" s="30">
        <f t="shared" si="5"/>
        <v>0</v>
      </c>
    </row>
    <row r="34" spans="2:8" x14ac:dyDescent="0.25">
      <c r="B34" s="26">
        <v>31</v>
      </c>
      <c r="C34" s="52">
        <f t="shared" si="0"/>
        <v>0.37617527613812002</v>
      </c>
      <c r="D34" s="52">
        <f t="shared" si="1"/>
        <v>0.31678577460681751</v>
      </c>
      <c r="E34" s="48">
        <f t="shared" si="2"/>
        <v>-5.9389501531302513E-2</v>
      </c>
      <c r="F34" s="48">
        <f t="shared" si="3"/>
        <v>-7.7149225566284783E-5</v>
      </c>
      <c r="G34" s="48">
        <f t="shared" si="4"/>
        <v>0.37609812691255373</v>
      </c>
      <c r="H34" s="30">
        <f t="shared" si="5"/>
        <v>0</v>
      </c>
    </row>
    <row r="35" spans="2:8" x14ac:dyDescent="0.25">
      <c r="B35" s="26">
        <v>32</v>
      </c>
      <c r="C35" s="52">
        <f t="shared" si="0"/>
        <v>1.2699646308248702E-3</v>
      </c>
      <c r="D35" s="52">
        <f t="shared" si="1"/>
        <v>2.2444292602197963E-3</v>
      </c>
      <c r="E35" s="48">
        <f t="shared" si="2"/>
        <v>9.7446462939492612E-4</v>
      </c>
      <c r="F35" s="48">
        <f t="shared" si="3"/>
        <v>1.2658666862177729E-6</v>
      </c>
      <c r="G35" s="48">
        <f t="shared" si="4"/>
        <v>1.271230497511088E-3</v>
      </c>
      <c r="H35" s="30">
        <f t="shared" si="5"/>
        <v>0</v>
      </c>
    </row>
    <row r="36" spans="2:8" x14ac:dyDescent="0.25">
      <c r="B36" s="26">
        <v>33</v>
      </c>
      <c r="C36" s="52">
        <f t="shared" si="0"/>
        <v>6.7503639523961864E-2</v>
      </c>
      <c r="D36" s="52">
        <f t="shared" si="1"/>
        <v>5.6413371607669127E-2</v>
      </c>
      <c r="E36" s="48">
        <f t="shared" si="2"/>
        <v>-1.1090267916292737E-2</v>
      </c>
      <c r="F36" s="48">
        <f t="shared" si="3"/>
        <v>-1.4406680625423909E-5</v>
      </c>
      <c r="G36" s="48">
        <f t="shared" si="4"/>
        <v>6.7489232843336439E-2</v>
      </c>
      <c r="H36" s="30">
        <f t="shared" si="5"/>
        <v>0</v>
      </c>
    </row>
    <row r="37" spans="2:8" x14ac:dyDescent="0.25">
      <c r="B37" s="26">
        <v>34</v>
      </c>
      <c r="C37" s="52">
        <f t="shared" si="0"/>
        <v>4.4253058727944716E-2</v>
      </c>
      <c r="D37" s="52">
        <f t="shared" si="1"/>
        <v>3.9509788445304235E-2</v>
      </c>
      <c r="E37" s="48">
        <f t="shared" si="2"/>
        <v>-4.7432702826404813E-3</v>
      </c>
      <c r="F37" s="48">
        <f t="shared" si="3"/>
        <v>-6.1616888426721263E-6</v>
      </c>
      <c r="G37" s="48">
        <f t="shared" si="4"/>
        <v>4.4246897039102041E-2</v>
      </c>
      <c r="H37" s="30">
        <f t="shared" si="5"/>
        <v>0</v>
      </c>
    </row>
    <row r="38" spans="2:8" x14ac:dyDescent="0.25">
      <c r="B38" s="26">
        <v>35</v>
      </c>
      <c r="C38" s="52">
        <f t="shared" si="0"/>
        <v>0.36343466624775511</v>
      </c>
      <c r="D38" s="52">
        <f t="shared" si="1"/>
        <v>0.35166631128246867</v>
      </c>
      <c r="E38" s="48">
        <f t="shared" si="2"/>
        <v>-1.1768354965286443E-2</v>
      </c>
      <c r="F38" s="48">
        <f t="shared" si="3"/>
        <v>-1.5287541541032345E-5</v>
      </c>
      <c r="G38" s="48">
        <f t="shared" si="4"/>
        <v>0.3634193787062141</v>
      </c>
      <c r="H38" s="30">
        <f t="shared" si="5"/>
        <v>0</v>
      </c>
    </row>
    <row r="39" spans="2:8" x14ac:dyDescent="0.25">
      <c r="B39" s="26">
        <v>36</v>
      </c>
      <c r="C39" s="52">
        <f t="shared" si="0"/>
        <v>4.4253058727944716E-2</v>
      </c>
      <c r="D39" s="52">
        <f t="shared" si="1"/>
        <v>3.9509788445304235E-2</v>
      </c>
      <c r="E39" s="48">
        <f t="shared" si="2"/>
        <v>-4.7432702826404813E-3</v>
      </c>
      <c r="F39" s="48">
        <f t="shared" si="3"/>
        <v>-6.1616888426721263E-6</v>
      </c>
      <c r="G39" s="48">
        <f t="shared" si="4"/>
        <v>4.4246897039102041E-2</v>
      </c>
      <c r="H39" s="30">
        <f t="shared" si="5"/>
        <v>0</v>
      </c>
    </row>
    <row r="40" spans="2:8" x14ac:dyDescent="0.25">
      <c r="B40" s="26">
        <v>37</v>
      </c>
      <c r="C40" s="52">
        <f t="shared" si="0"/>
        <v>0.23293659142238254</v>
      </c>
      <c r="D40" s="52">
        <f t="shared" si="1"/>
        <v>0.23495243567481122</v>
      </c>
      <c r="E40" s="48">
        <f t="shared" si="2"/>
        <v>2.0158442524286779E-3</v>
      </c>
      <c r="F40" s="48">
        <f t="shared" si="3"/>
        <v>2.6186584990134699E-6</v>
      </c>
      <c r="G40" s="48">
        <f t="shared" si="4"/>
        <v>0.23293921008088156</v>
      </c>
      <c r="H40" s="30">
        <f t="shared" si="5"/>
        <v>0</v>
      </c>
    </row>
    <row r="41" spans="2:8" x14ac:dyDescent="0.25">
      <c r="B41" s="26">
        <v>38</v>
      </c>
      <c r="C41" s="52">
        <f t="shared" si="0"/>
        <v>4.4253058727944716E-2</v>
      </c>
      <c r="D41" s="52">
        <f t="shared" si="1"/>
        <v>3.9509788445304235E-2</v>
      </c>
      <c r="E41" s="48">
        <f t="shared" si="2"/>
        <v>-4.7432702826404813E-3</v>
      </c>
      <c r="F41" s="48">
        <f t="shared" si="3"/>
        <v>-6.1616888426721263E-6</v>
      </c>
      <c r="G41" s="48">
        <f t="shared" si="4"/>
        <v>4.4246897039102041E-2</v>
      </c>
      <c r="H41" s="30">
        <f t="shared" si="5"/>
        <v>0</v>
      </c>
    </row>
    <row r="42" spans="2:8" x14ac:dyDescent="0.25">
      <c r="B42" s="26">
        <v>39</v>
      </c>
      <c r="C42" s="52">
        <f t="shared" si="0"/>
        <v>5.1366620792552581E-2</v>
      </c>
      <c r="D42" s="52">
        <f t="shared" si="1"/>
        <v>4.2850088405828553E-2</v>
      </c>
      <c r="E42" s="48">
        <f t="shared" si="2"/>
        <v>-8.5165323867240281E-3</v>
      </c>
      <c r="F42" s="48">
        <f t="shared" si="3"/>
        <v>-1.1063300098581104E-5</v>
      </c>
      <c r="G42" s="48">
        <f t="shared" si="4"/>
        <v>5.1355557492453997E-2</v>
      </c>
      <c r="H42" s="30">
        <f t="shared" si="5"/>
        <v>0</v>
      </c>
    </row>
    <row r="43" spans="2:8" x14ac:dyDescent="0.25">
      <c r="B43" s="26">
        <v>40</v>
      </c>
      <c r="C43" s="52">
        <f t="shared" si="0"/>
        <v>4.4253058727944716E-2</v>
      </c>
      <c r="D43" s="52">
        <f t="shared" si="1"/>
        <v>3.9509788445304235E-2</v>
      </c>
      <c r="E43" s="48">
        <f t="shared" si="2"/>
        <v>-4.7432702826404813E-3</v>
      </c>
      <c r="F43" s="48">
        <f t="shared" si="3"/>
        <v>-6.1616888426721263E-6</v>
      </c>
      <c r="G43" s="48">
        <f t="shared" si="4"/>
        <v>4.4246897039102041E-2</v>
      </c>
      <c r="H43" s="30">
        <f t="shared" si="5"/>
        <v>0</v>
      </c>
    </row>
    <row r="44" spans="2:8" x14ac:dyDescent="0.25">
      <c r="B44" s="26">
        <v>41</v>
      </c>
      <c r="C44" s="52">
        <f t="shared" si="0"/>
        <v>0.272856325769609</v>
      </c>
      <c r="D44" s="52">
        <f t="shared" si="1"/>
        <v>0.23528249165808171</v>
      </c>
      <c r="E44" s="48">
        <f t="shared" si="2"/>
        <v>-3.7573834111527288E-2</v>
      </c>
      <c r="F44" s="48">
        <f t="shared" si="3"/>
        <v>-4.8809842287235123E-5</v>
      </c>
      <c r="G44" s="48">
        <f t="shared" si="4"/>
        <v>0.27280751592732178</v>
      </c>
      <c r="H44" s="30">
        <f t="shared" si="5"/>
        <v>0</v>
      </c>
    </row>
    <row r="45" spans="2:8" x14ac:dyDescent="0.25">
      <c r="B45" s="26">
        <v>42</v>
      </c>
      <c r="C45" s="52">
        <f t="shared" si="0"/>
        <v>4.4253058727944716E-2</v>
      </c>
      <c r="D45" s="52">
        <f t="shared" si="1"/>
        <v>3.9509788445304235E-2</v>
      </c>
      <c r="E45" s="48">
        <f t="shared" si="2"/>
        <v>-4.7432702826404813E-3</v>
      </c>
      <c r="F45" s="48">
        <f t="shared" si="3"/>
        <v>-6.1616888426721263E-6</v>
      </c>
      <c r="G45" s="48">
        <f t="shared" si="4"/>
        <v>4.4246897039102041E-2</v>
      </c>
      <c r="H45" s="30">
        <f t="shared" si="5"/>
        <v>0</v>
      </c>
    </row>
    <row r="46" spans="2:8" x14ac:dyDescent="0.25">
      <c r="B46" s="26">
        <v>43</v>
      </c>
      <c r="C46" s="52">
        <f t="shared" si="0"/>
        <v>0.18024721970812474</v>
      </c>
      <c r="D46" s="52">
        <f t="shared" si="1"/>
        <v>0.14969356494618877</v>
      </c>
      <c r="E46" s="48">
        <f t="shared" si="2"/>
        <v>-3.0553654761935972E-2</v>
      </c>
      <c r="F46" s="48">
        <f t="shared" si="3"/>
        <v>-3.9690361803433921E-5</v>
      </c>
      <c r="G46" s="48">
        <f t="shared" si="4"/>
        <v>0.18020752934632131</v>
      </c>
      <c r="H46" s="30">
        <f t="shared" si="5"/>
        <v>0</v>
      </c>
    </row>
    <row r="47" spans="2:8" x14ac:dyDescent="0.25">
      <c r="B47" s="26">
        <v>44</v>
      </c>
      <c r="C47" s="52">
        <f t="shared" si="0"/>
        <v>4.4253058727944716E-2</v>
      </c>
      <c r="D47" s="52">
        <f t="shared" si="1"/>
        <v>3.9509788445304235E-2</v>
      </c>
      <c r="E47" s="48">
        <f t="shared" si="2"/>
        <v>-4.7432702826404813E-3</v>
      </c>
      <c r="F47" s="48">
        <f t="shared" si="3"/>
        <v>-6.1616888426721263E-6</v>
      </c>
      <c r="G47" s="48">
        <f t="shared" si="4"/>
        <v>4.4246897039102041E-2</v>
      </c>
      <c r="H47" s="30">
        <f t="shared" si="5"/>
        <v>0</v>
      </c>
    </row>
    <row r="48" spans="2:8" x14ac:dyDescent="0.25">
      <c r="B48" s="26">
        <v>45</v>
      </c>
      <c r="C48" s="52">
        <f t="shared" si="0"/>
        <v>4.4254803859095013E-2</v>
      </c>
      <c r="D48" s="52">
        <f t="shared" si="1"/>
        <v>3.9511622355493263E-2</v>
      </c>
      <c r="E48" s="48">
        <f t="shared" si="2"/>
        <v>-4.7431815036017497E-3</v>
      </c>
      <c r="F48" s="48">
        <f t="shared" si="3"/>
        <v>-6.161573515317829E-6</v>
      </c>
      <c r="G48" s="48">
        <f t="shared" si="4"/>
        <v>4.4248642285579697E-2</v>
      </c>
      <c r="H48" s="30">
        <f t="shared" si="5"/>
        <v>0</v>
      </c>
    </row>
    <row r="49" spans="1:21" x14ac:dyDescent="0.25">
      <c r="B49" s="26">
        <v>46</v>
      </c>
      <c r="C49" s="52">
        <f t="shared" si="0"/>
        <v>4.4253058727944716E-2</v>
      </c>
      <c r="D49" s="52">
        <f t="shared" si="1"/>
        <v>3.9509788445304235E-2</v>
      </c>
      <c r="E49" s="48">
        <f t="shared" si="2"/>
        <v>-4.7432702826404813E-3</v>
      </c>
      <c r="F49" s="48">
        <f t="shared" si="3"/>
        <v>-6.1616888426721263E-6</v>
      </c>
      <c r="G49" s="48">
        <f t="shared" si="4"/>
        <v>4.4246897039102041E-2</v>
      </c>
      <c r="H49" s="30">
        <f t="shared" si="5"/>
        <v>0</v>
      </c>
    </row>
    <row r="50" spans="1:21" x14ac:dyDescent="0.25">
      <c r="B50" s="26">
        <v>47</v>
      </c>
      <c r="C50" s="52">
        <f t="shared" si="0"/>
        <v>0.19038468562778788</v>
      </c>
      <c r="D50" s="52">
        <f t="shared" si="1"/>
        <v>0.18456070692514012</v>
      </c>
      <c r="E50" s="48">
        <f t="shared" si="2"/>
        <v>-5.823978702647753E-3</v>
      </c>
      <c r="F50" s="48">
        <f t="shared" si="3"/>
        <v>-7.5655702613868336E-6</v>
      </c>
      <c r="G50" s="48">
        <f t="shared" si="4"/>
        <v>0.19037712005752649</v>
      </c>
      <c r="H50" s="30">
        <f t="shared" si="5"/>
        <v>0</v>
      </c>
    </row>
    <row r="51" spans="1:21" x14ac:dyDescent="0.25">
      <c r="B51" s="26">
        <v>48</v>
      </c>
      <c r="C51" s="52">
        <f t="shared" si="0"/>
        <v>4.4253058727944716E-2</v>
      </c>
      <c r="D51" s="52">
        <f t="shared" si="1"/>
        <v>3.9509788445304235E-2</v>
      </c>
      <c r="E51" s="48">
        <f t="shared" si="2"/>
        <v>-4.7432702826404813E-3</v>
      </c>
      <c r="F51" s="48">
        <f t="shared" si="3"/>
        <v>-6.1616888426721263E-6</v>
      </c>
      <c r="G51" s="48">
        <f t="shared" si="4"/>
        <v>4.4246897039102041E-2</v>
      </c>
      <c r="H51" s="30">
        <f t="shared" si="5"/>
        <v>0</v>
      </c>
    </row>
    <row r="52" spans="1:21" x14ac:dyDescent="0.25">
      <c r="B52" s="26">
        <v>49</v>
      </c>
      <c r="C52" s="52">
        <f t="shared" si="0"/>
        <v>0.11820986355275069</v>
      </c>
      <c r="D52" s="52">
        <f t="shared" si="1"/>
        <v>0.11324661442841535</v>
      </c>
      <c r="E52" s="48">
        <f t="shared" si="2"/>
        <v>-4.9632491243353366E-3</v>
      </c>
      <c r="F52" s="48">
        <f t="shared" si="3"/>
        <v>-6.4474497404762848E-6</v>
      </c>
      <c r="G52" s="48">
        <f t="shared" si="4"/>
        <v>0.11820341610301022</v>
      </c>
      <c r="H52" s="30">
        <f t="shared" si="5"/>
        <v>0</v>
      </c>
    </row>
    <row r="53" spans="1:21" x14ac:dyDescent="0.25">
      <c r="B53" s="26">
        <v>50</v>
      </c>
      <c r="C53" s="52">
        <f t="shared" si="0"/>
        <v>4.4253058727944716E-2</v>
      </c>
      <c r="D53" s="52">
        <f t="shared" si="1"/>
        <v>3.9509788445304235E-2</v>
      </c>
      <c r="E53" s="48">
        <f t="shared" si="2"/>
        <v>-4.7432702826404813E-3</v>
      </c>
      <c r="F53" s="48">
        <f t="shared" si="3"/>
        <v>-6.1616888426721263E-6</v>
      </c>
      <c r="G53" s="48">
        <f t="shared" si="4"/>
        <v>4.4246897039102041E-2</v>
      </c>
      <c r="H53" s="30">
        <f t="shared" si="5"/>
        <v>0</v>
      </c>
    </row>
    <row r="54" spans="1:21" x14ac:dyDescent="0.25">
      <c r="E54" s="32"/>
      <c r="F54" s="32"/>
    </row>
    <row r="55" spans="1:21" x14ac:dyDescent="0.25">
      <c r="F55" s="26" t="s">
        <v>85</v>
      </c>
      <c r="G55" s="29">
        <f>IF(H4=0,0,100*H55/H4)</f>
        <v>0</v>
      </c>
      <c r="H55" s="29">
        <f>SQRT(SUMSQ(H5:H53))</f>
        <v>0</v>
      </c>
      <c r="I55" s="26" t="s">
        <v>52</v>
      </c>
    </row>
    <row r="56" spans="1:21" x14ac:dyDescent="0.25">
      <c r="F56" s="26" t="s">
        <v>86</v>
      </c>
      <c r="G56" s="29">
        <f>SQRT(SUMSQ(G4:G53))</f>
        <v>103.32512257169246</v>
      </c>
      <c r="H56" s="29">
        <f>SQRT(SUMSQ(H4:H53))</f>
        <v>0</v>
      </c>
      <c r="I56" s="26" t="s">
        <v>54</v>
      </c>
    </row>
    <row r="57" spans="1:21" x14ac:dyDescent="0.25">
      <c r="G57" s="26" t="s">
        <v>87</v>
      </c>
      <c r="H57" s="26" t="s">
        <v>13</v>
      </c>
    </row>
    <row r="59" spans="1:21" x14ac:dyDescent="0.25">
      <c r="A59" s="25" t="s">
        <v>63</v>
      </c>
      <c r="C59" s="36"/>
      <c r="D59" s="36"/>
      <c r="E59" s="36"/>
      <c r="F59" s="36"/>
      <c r="G59" s="36"/>
      <c r="H59" s="36"/>
      <c r="I59" s="36"/>
      <c r="J59" s="36"/>
      <c r="K59" s="36"/>
      <c r="L59" s="36"/>
      <c r="M59" s="36"/>
      <c r="N59" s="36"/>
      <c r="O59" s="36"/>
      <c r="P59" s="36"/>
      <c r="Q59" s="36"/>
      <c r="R59" s="36"/>
      <c r="S59" s="36"/>
    </row>
    <row r="60" spans="1:21" ht="14.4" x14ac:dyDescent="0.3">
      <c r="C60" s="1" t="s">
        <v>478</v>
      </c>
      <c r="D60" s="7">
        <f>100/D62</f>
        <v>1000</v>
      </c>
      <c r="E60" s="7">
        <f t="shared" ref="E60:U60" si="6">100/E62</f>
        <v>200</v>
      </c>
      <c r="F60" s="7">
        <f t="shared" si="6"/>
        <v>100</v>
      </c>
      <c r="G60" s="7">
        <f t="shared" si="6"/>
        <v>50</v>
      </c>
      <c r="H60" s="7">
        <f t="shared" si="6"/>
        <v>33.333333333333336</v>
      </c>
      <c r="I60" s="7">
        <f t="shared" si="6"/>
        <v>25</v>
      </c>
      <c r="J60" s="7">
        <f t="shared" si="6"/>
        <v>20</v>
      </c>
      <c r="K60" s="7">
        <f t="shared" si="6"/>
        <v>16.666666666666668</v>
      </c>
      <c r="L60" s="7">
        <f t="shared" si="6"/>
        <v>14.285714285714286</v>
      </c>
      <c r="M60" s="7">
        <f t="shared" si="6"/>
        <v>12.5</v>
      </c>
      <c r="N60" s="7">
        <f t="shared" si="6"/>
        <v>10</v>
      </c>
      <c r="O60" s="7">
        <f t="shared" si="6"/>
        <v>8.3333333333333339</v>
      </c>
      <c r="P60" s="7">
        <f t="shared" si="6"/>
        <v>7.1428571428571432</v>
      </c>
      <c r="Q60" s="7">
        <f t="shared" si="6"/>
        <v>5.5555555555555554</v>
      </c>
      <c r="R60" s="7">
        <f t="shared" si="6"/>
        <v>4.7619047619047619</v>
      </c>
      <c r="S60" s="7">
        <f t="shared" si="6"/>
        <v>1</v>
      </c>
      <c r="T60" s="7">
        <f t="shared" si="6"/>
        <v>0.1</v>
      </c>
      <c r="U60" s="7">
        <f t="shared" si="6"/>
        <v>0.01</v>
      </c>
    </row>
    <row r="61" spans="1:21" ht="14.4" x14ac:dyDescent="0.3">
      <c r="C61" s="1" t="s">
        <v>64</v>
      </c>
      <c r="D61">
        <v>0</v>
      </c>
      <c r="E61">
        <v>1</v>
      </c>
      <c r="F61">
        <v>2</v>
      </c>
      <c r="G61">
        <v>3</v>
      </c>
      <c r="H61">
        <v>4</v>
      </c>
      <c r="I61">
        <v>5</v>
      </c>
      <c r="J61">
        <v>6</v>
      </c>
      <c r="K61">
        <v>7</v>
      </c>
      <c r="L61">
        <v>8</v>
      </c>
      <c r="M61">
        <v>9</v>
      </c>
      <c r="N61">
        <v>10</v>
      </c>
      <c r="O61">
        <v>11</v>
      </c>
      <c r="P61">
        <v>12</v>
      </c>
      <c r="Q61">
        <v>13</v>
      </c>
      <c r="R61">
        <v>14</v>
      </c>
      <c r="S61">
        <v>15</v>
      </c>
      <c r="T61">
        <v>16</v>
      </c>
      <c r="U61">
        <v>17</v>
      </c>
    </row>
    <row r="62" spans="1:21" ht="14.4" x14ac:dyDescent="0.3">
      <c r="A62" s="26" t="s">
        <v>65</v>
      </c>
      <c r="B62" s="54"/>
      <c r="C62" s="216" t="s">
        <v>1</v>
      </c>
      <c r="D62" s="296">
        <v>0.1</v>
      </c>
      <c r="E62" s="296">
        <v>0.5</v>
      </c>
      <c r="F62" s="296">
        <v>1</v>
      </c>
      <c r="G62" s="296">
        <v>2</v>
      </c>
      <c r="H62" s="296">
        <v>3</v>
      </c>
      <c r="I62" s="296">
        <v>4</v>
      </c>
      <c r="J62" s="296">
        <v>5</v>
      </c>
      <c r="K62" s="296">
        <v>6</v>
      </c>
      <c r="L62" s="296">
        <v>7</v>
      </c>
      <c r="M62" s="296">
        <v>8</v>
      </c>
      <c r="N62" s="296">
        <v>10</v>
      </c>
      <c r="O62" s="296">
        <v>12</v>
      </c>
      <c r="P62" s="296">
        <v>14</v>
      </c>
      <c r="Q62" s="296">
        <v>18</v>
      </c>
      <c r="R62" s="296">
        <v>21</v>
      </c>
      <c r="S62" s="296">
        <v>100</v>
      </c>
      <c r="T62" s="296">
        <v>1000</v>
      </c>
      <c r="U62" s="296">
        <v>10000</v>
      </c>
    </row>
    <row r="63" spans="1:21" ht="14.4" x14ac:dyDescent="0.3">
      <c r="A63" s="31"/>
      <c r="C63" s="1" t="s">
        <v>64</v>
      </c>
      <c r="D63">
        <v>0</v>
      </c>
      <c r="E63">
        <v>1</v>
      </c>
      <c r="F63">
        <v>2</v>
      </c>
      <c r="G63">
        <v>3</v>
      </c>
      <c r="H63">
        <v>4</v>
      </c>
      <c r="I63">
        <v>5</v>
      </c>
      <c r="J63">
        <v>6</v>
      </c>
      <c r="K63">
        <v>7</v>
      </c>
      <c r="L63">
        <v>8</v>
      </c>
      <c r="M63">
        <v>9</v>
      </c>
      <c r="N63">
        <v>10</v>
      </c>
      <c r="O63">
        <v>11</v>
      </c>
      <c r="P63">
        <v>12</v>
      </c>
      <c r="Q63">
        <v>13</v>
      </c>
      <c r="R63">
        <v>14</v>
      </c>
      <c r="S63">
        <v>15</v>
      </c>
      <c r="T63">
        <v>16</v>
      </c>
      <c r="U63">
        <v>17</v>
      </c>
    </row>
    <row r="64" spans="1:21" ht="14.4" x14ac:dyDescent="0.3">
      <c r="A64" s="43">
        <v>2</v>
      </c>
      <c r="B64" s="43"/>
      <c r="C64" s="1"/>
      <c r="D64" s="298">
        <v>1.7291324964220301E-2</v>
      </c>
      <c r="E64" s="298">
        <v>6.6998018440489568E-2</v>
      </c>
      <c r="F64" s="298">
        <v>0.12416560747379798</v>
      </c>
      <c r="G64" s="298">
        <v>0.19164678959143519</v>
      </c>
      <c r="H64" s="298">
        <v>3.2432337711389723E-2</v>
      </c>
      <c r="I64" s="298">
        <v>2.6794917304969575E-2</v>
      </c>
      <c r="J64" s="298">
        <v>1.0787351058726545E-2</v>
      </c>
      <c r="K64" s="298">
        <v>1.5488830696511377E-2</v>
      </c>
      <c r="L64" s="298">
        <v>1.1120918013740941E-2</v>
      </c>
      <c r="M64" s="298">
        <v>1.2571907703050382E-2</v>
      </c>
      <c r="N64" s="298">
        <v>2.636287592484499E-2</v>
      </c>
      <c r="O64" s="298">
        <v>3.9068771982494086E-3</v>
      </c>
      <c r="P64" s="298">
        <v>1.783236037225493E-2</v>
      </c>
      <c r="Q64" s="298">
        <v>6.5715038062707058E-3</v>
      </c>
      <c r="R64" s="298">
        <v>5.7146036546192576E-3</v>
      </c>
      <c r="S64" s="298">
        <v>5.7146036546192576E-3</v>
      </c>
      <c r="T64" s="298">
        <v>5.7146036546192576E-3</v>
      </c>
      <c r="U64" s="298">
        <v>5.7146036546192576E-3</v>
      </c>
    </row>
    <row r="65" spans="1:21" ht="14.4" x14ac:dyDescent="0.3">
      <c r="A65" s="43">
        <v>3</v>
      </c>
      <c r="B65" s="43"/>
      <c r="C65" s="1"/>
      <c r="D65" s="298">
        <v>0.55385104430828935</v>
      </c>
      <c r="E65" s="298">
        <v>8.5473774716319078</v>
      </c>
      <c r="F65" s="298">
        <v>4.3857615521600959</v>
      </c>
      <c r="G65" s="298">
        <v>4.8916763402676038</v>
      </c>
      <c r="H65" s="298">
        <v>5.107248510230364</v>
      </c>
      <c r="I65" s="298">
        <v>6.2072885442798249</v>
      </c>
      <c r="J65" s="298">
        <v>7.7608557639223745</v>
      </c>
      <c r="K65" s="298">
        <v>5.1365577880102951</v>
      </c>
      <c r="L65" s="298">
        <v>3.7115343236794409</v>
      </c>
      <c r="M65" s="298">
        <v>2.8652501742303245</v>
      </c>
      <c r="N65" s="298">
        <v>1.976424393859703</v>
      </c>
      <c r="O65" s="298">
        <v>1.512989131711088</v>
      </c>
      <c r="P65" s="298">
        <v>1.2479844012146544</v>
      </c>
      <c r="Q65" s="298">
        <v>0.90186138282906037</v>
      </c>
      <c r="R65" s="298">
        <v>0.8611207071065603</v>
      </c>
      <c r="S65" s="298">
        <v>0.8611207071065603</v>
      </c>
      <c r="T65" s="298">
        <v>0.8611207071065603</v>
      </c>
      <c r="U65" s="298">
        <v>0.8611207071065603</v>
      </c>
    </row>
    <row r="66" spans="1:21" ht="14.4" x14ac:dyDescent="0.3">
      <c r="A66" s="43">
        <v>4</v>
      </c>
      <c r="B66" s="43"/>
      <c r="C66" s="1"/>
      <c r="D66" s="298">
        <v>0.13520250276733159</v>
      </c>
      <c r="E66" s="298">
        <v>2.8695360144102396E-2</v>
      </c>
      <c r="F66" s="298">
        <v>0.11237654569855723</v>
      </c>
      <c r="G66" s="298">
        <v>0.1270693443534559</v>
      </c>
      <c r="H66" s="298">
        <v>2.9673650735424224E-2</v>
      </c>
      <c r="I66" s="298">
        <v>2.1212221057019379E-2</v>
      </c>
      <c r="J66" s="298">
        <v>1.8916758051922035E-2</v>
      </c>
      <c r="K66" s="298">
        <v>2.4591818946340816E-2</v>
      </c>
      <c r="L66" s="298">
        <v>2.2309871990685983E-2</v>
      </c>
      <c r="M66" s="298">
        <v>1.4672119245636975E-2</v>
      </c>
      <c r="N66" s="298">
        <v>3.4977738354405041E-3</v>
      </c>
      <c r="O66" s="298">
        <v>3.318391374383355E-3</v>
      </c>
      <c r="P66" s="298">
        <v>1.8380050856337499E-2</v>
      </c>
      <c r="Q66" s="298">
        <v>5.7240454854559945E-3</v>
      </c>
      <c r="R66" s="298">
        <v>1.5847873572736098E-3</v>
      </c>
      <c r="S66" s="298">
        <v>1.5847873572736098E-3</v>
      </c>
      <c r="T66" s="298">
        <v>1.5847873572736098E-3</v>
      </c>
      <c r="U66" s="298">
        <v>1.5847873572736098E-3</v>
      </c>
    </row>
    <row r="67" spans="1:21" ht="14.4" x14ac:dyDescent="0.3">
      <c r="A67" s="43">
        <v>5</v>
      </c>
      <c r="B67" s="43"/>
      <c r="C67" s="1"/>
      <c r="D67" s="298">
        <v>93.368748010282204</v>
      </c>
      <c r="E67" s="298">
        <v>82.87682728374898</v>
      </c>
      <c r="F67" s="298">
        <v>73.247221838386295</v>
      </c>
      <c r="G67" s="298">
        <v>60.831459052554194</v>
      </c>
      <c r="H67" s="298">
        <v>49.382828970020235</v>
      </c>
      <c r="I67" s="298">
        <v>41.72752692184784</v>
      </c>
      <c r="J67" s="298">
        <v>37.27946499417164</v>
      </c>
      <c r="K67" s="298">
        <v>34.240442443062605</v>
      </c>
      <c r="L67" s="298">
        <v>31.801834469310585</v>
      </c>
      <c r="M67" s="298">
        <v>29.833911528390878</v>
      </c>
      <c r="N67" s="298">
        <v>26.829447444032468</v>
      </c>
      <c r="O67" s="298">
        <v>24.524377947577921</v>
      </c>
      <c r="P67" s="298">
        <v>22.666145948519805</v>
      </c>
      <c r="Q67" s="298">
        <v>19.683481307529799</v>
      </c>
      <c r="R67" s="298">
        <v>19.55420880107971</v>
      </c>
      <c r="S67" s="298">
        <v>19.55420880107971</v>
      </c>
      <c r="T67" s="298">
        <v>19.55420880107971</v>
      </c>
      <c r="U67" s="298">
        <v>19.55420880107971</v>
      </c>
    </row>
    <row r="68" spans="1:21" ht="14.4" x14ac:dyDescent="0.3">
      <c r="A68" s="43">
        <v>6</v>
      </c>
      <c r="B68" s="43"/>
      <c r="C68" s="1"/>
      <c r="D68" s="298">
        <v>6.8818496078623531E-2</v>
      </c>
      <c r="E68" s="298">
        <v>5.2936191485114158E-2</v>
      </c>
      <c r="F68" s="298">
        <v>7.0102641631974985E-3</v>
      </c>
      <c r="G68" s="298">
        <v>1.1862351899176933E-2</v>
      </c>
      <c r="H68" s="298">
        <v>1.9222702695116914E-3</v>
      </c>
      <c r="I68" s="298">
        <v>1.1087146410300954E-2</v>
      </c>
      <c r="J68" s="298">
        <v>6.7285132893848583E-3</v>
      </c>
      <c r="K68" s="298">
        <v>4.5194792975590103E-3</v>
      </c>
      <c r="L68" s="298">
        <v>6.0169639857389576E-3</v>
      </c>
      <c r="M68" s="298">
        <v>7.3330327729595772E-3</v>
      </c>
      <c r="N68" s="298">
        <v>4.9368015428742544E-3</v>
      </c>
      <c r="O68" s="298">
        <v>2.1005572354824645E-3</v>
      </c>
      <c r="P68" s="298">
        <v>9.2816222816082712E-3</v>
      </c>
      <c r="Q68" s="298">
        <v>3.8021989595571734E-3</v>
      </c>
      <c r="R68" s="298">
        <v>2.6949365909897677E-3</v>
      </c>
      <c r="S68" s="298">
        <v>2.6949365909897677E-3</v>
      </c>
      <c r="T68" s="298">
        <v>2.6949365909897677E-3</v>
      </c>
      <c r="U68" s="298">
        <v>2.6949365909897677E-3</v>
      </c>
    </row>
    <row r="69" spans="1:21" ht="14.4" x14ac:dyDescent="0.3">
      <c r="A69" s="43">
        <v>7</v>
      </c>
      <c r="B69" s="43"/>
      <c r="C69" s="1"/>
      <c r="D69" s="298">
        <v>85.792929223620419</v>
      </c>
      <c r="E69" s="298">
        <v>65.67536665068971</v>
      </c>
      <c r="F69" s="298">
        <v>52.471101352240538</v>
      </c>
      <c r="G69" s="298">
        <v>34.473926081721721</v>
      </c>
      <c r="H69" s="298">
        <v>20.70483242585701</v>
      </c>
      <c r="I69" s="298">
        <v>13.8859457017344</v>
      </c>
      <c r="J69" s="298">
        <v>10.407370469722119</v>
      </c>
      <c r="K69" s="298">
        <v>8.4234250472584673</v>
      </c>
      <c r="L69" s="298">
        <v>7.3447486655802345</v>
      </c>
      <c r="M69" s="298">
        <v>6.8022663683683335</v>
      </c>
      <c r="N69" s="298">
        <v>6.5166708279323533</v>
      </c>
      <c r="O69" s="298">
        <v>6.6273860488121423</v>
      </c>
      <c r="P69" s="298">
        <v>6.8022403042729351</v>
      </c>
      <c r="Q69" s="298">
        <v>6.987229811341364</v>
      </c>
      <c r="R69" s="298">
        <v>7.326010337515557</v>
      </c>
      <c r="S69" s="298">
        <v>7.326010337515557</v>
      </c>
      <c r="T69" s="298">
        <v>7.326010337515557</v>
      </c>
      <c r="U69" s="298">
        <v>7.326010337515557</v>
      </c>
    </row>
    <row r="70" spans="1:21" ht="14.4" x14ac:dyDescent="0.3">
      <c r="A70" s="43">
        <v>8</v>
      </c>
      <c r="B70" s="43"/>
      <c r="C70" s="1"/>
      <c r="D70" s="298">
        <v>0.15207091572872264</v>
      </c>
      <c r="E70" s="298">
        <v>5.2891824469196221E-2</v>
      </c>
      <c r="F70" s="298">
        <v>5.7040082585237739E-2</v>
      </c>
      <c r="G70" s="298">
        <v>1.9116049168177565E-2</v>
      </c>
      <c r="H70" s="298">
        <v>2.3564987660073828E-2</v>
      </c>
      <c r="I70" s="298">
        <v>8.5355102461392024E-3</v>
      </c>
      <c r="J70" s="298">
        <v>1.9603945043945102E-2</v>
      </c>
      <c r="K70" s="298">
        <v>1.2636657164619786E-2</v>
      </c>
      <c r="L70" s="298">
        <v>1.0643351525778579E-2</v>
      </c>
      <c r="M70" s="298">
        <v>4.3473848598230228E-3</v>
      </c>
      <c r="N70" s="298">
        <v>2.5415807506222721E-3</v>
      </c>
      <c r="O70" s="298">
        <v>1.2216655309818655E-3</v>
      </c>
      <c r="P70" s="298">
        <v>6.4595461603830819E-3</v>
      </c>
      <c r="Q70" s="298">
        <v>1.3983813924981661E-3</v>
      </c>
      <c r="R70" s="298">
        <v>3.4056178014729927E-3</v>
      </c>
      <c r="S70" s="298">
        <v>3.4056178014729927E-3</v>
      </c>
      <c r="T70" s="298">
        <v>3.4056178014729927E-3</v>
      </c>
      <c r="U70" s="298">
        <v>3.4056178014729927E-3</v>
      </c>
    </row>
    <row r="71" spans="1:21" ht="14.4" x14ac:dyDescent="0.3">
      <c r="A71" s="43">
        <v>9</v>
      </c>
      <c r="B71" s="43"/>
      <c r="C71" s="1"/>
      <c r="D71" s="298">
        <v>1.154353524821659</v>
      </c>
      <c r="E71" s="298">
        <v>3.5914593530271834</v>
      </c>
      <c r="F71" s="298">
        <v>0.66156600737101889</v>
      </c>
      <c r="G71" s="298">
        <v>0.60368769264829547</v>
      </c>
      <c r="H71" s="298">
        <v>0.42447764331950832</v>
      </c>
      <c r="I71" s="298">
        <v>1.0648962156533353</v>
      </c>
      <c r="J71" s="298">
        <v>1.5532650518305111</v>
      </c>
      <c r="K71" s="298">
        <v>0.98716445545758624</v>
      </c>
      <c r="L71" s="298">
        <v>0.68104076968532634</v>
      </c>
      <c r="M71" s="298">
        <v>0.50610374236669098</v>
      </c>
      <c r="N71" s="298">
        <v>0.31868142208094846</v>
      </c>
      <c r="O71" s="298">
        <v>0.22626624756676589</v>
      </c>
      <c r="P71" s="298">
        <v>0.1789795622711387</v>
      </c>
      <c r="Q71" s="298">
        <v>0.13966052871548112</v>
      </c>
      <c r="R71" s="298">
        <v>0.13247290047204982</v>
      </c>
      <c r="S71" s="298">
        <v>0.13247290047204982</v>
      </c>
      <c r="T71" s="298">
        <v>0.13247290047204982</v>
      </c>
      <c r="U71" s="298">
        <v>0.13247290047204982</v>
      </c>
    </row>
    <row r="72" spans="1:21" ht="14.4" x14ac:dyDescent="0.3">
      <c r="A72" s="43">
        <v>10</v>
      </c>
      <c r="B72" s="43"/>
      <c r="C72" s="1"/>
      <c r="D72" s="298">
        <v>0.2294007148283545</v>
      </c>
      <c r="E72" s="298">
        <v>4.67408371331944E-2</v>
      </c>
      <c r="F72" s="298">
        <v>3.9171017790739594E-2</v>
      </c>
      <c r="G72" s="298">
        <v>3.1896110289054799E-2</v>
      </c>
      <c r="H72" s="298">
        <v>9.7072760067846587E-3</v>
      </c>
      <c r="I72" s="298">
        <v>1.3760275349404955E-2</v>
      </c>
      <c r="J72" s="298">
        <v>1.2351163020258928E-2</v>
      </c>
      <c r="K72" s="298">
        <v>7.8770677291336265E-3</v>
      </c>
      <c r="L72" s="298">
        <v>6.6241460677741474E-3</v>
      </c>
      <c r="M72" s="298">
        <v>9.5446111698385379E-4</v>
      </c>
      <c r="N72" s="298">
        <v>5.9000829249238182E-3</v>
      </c>
      <c r="O72" s="298">
        <v>2.8410236973985879E-3</v>
      </c>
      <c r="P72" s="298">
        <v>3.0933034144878684E-3</v>
      </c>
      <c r="Q72" s="298">
        <v>1.7024651539385351E-3</v>
      </c>
      <c r="R72" s="298">
        <v>3.8405411483555876E-3</v>
      </c>
      <c r="S72" s="298">
        <v>3.8405411483555876E-3</v>
      </c>
      <c r="T72" s="298">
        <v>3.8405411483555876E-3</v>
      </c>
      <c r="U72" s="298">
        <v>3.8405411483555876E-3</v>
      </c>
    </row>
    <row r="73" spans="1:21" ht="14.4" x14ac:dyDescent="0.3">
      <c r="A73" s="43">
        <v>11</v>
      </c>
      <c r="B73" s="43"/>
      <c r="C73" s="1"/>
      <c r="D73" s="298">
        <v>69.048567707776243</v>
      </c>
      <c r="E73" s="298">
        <v>33.685348584817774</v>
      </c>
      <c r="F73" s="298">
        <v>15.583787301158949</v>
      </c>
      <c r="G73" s="298">
        <v>6.5636008603412694</v>
      </c>
      <c r="H73" s="298">
        <v>7.6797975872700235</v>
      </c>
      <c r="I73" s="298">
        <v>7.4570840283088478</v>
      </c>
      <c r="J73" s="298">
        <v>6.9055670232180777</v>
      </c>
      <c r="K73" s="298">
        <v>6.5341193000171698</v>
      </c>
      <c r="L73" s="298">
        <v>6.0786150094839924</v>
      </c>
      <c r="M73" s="298">
        <v>5.6151234987755405</v>
      </c>
      <c r="N73" s="298">
        <v>4.7731220793376856</v>
      </c>
      <c r="O73" s="298">
        <v>4.037747204995374</v>
      </c>
      <c r="P73" s="298">
        <v>3.4442053406397228</v>
      </c>
      <c r="Q73" s="298">
        <v>2.6571079286057731</v>
      </c>
      <c r="R73" s="298">
        <v>2.6319335627413896</v>
      </c>
      <c r="S73" s="298">
        <v>2.6319335627413896</v>
      </c>
      <c r="T73" s="298">
        <v>2.6319335627413896</v>
      </c>
      <c r="U73" s="298">
        <v>2.6319335627413896</v>
      </c>
    </row>
    <row r="74" spans="1:21" ht="14.4" x14ac:dyDescent="0.3">
      <c r="A74" s="43">
        <v>12</v>
      </c>
      <c r="B74" s="43"/>
      <c r="C74" s="1"/>
      <c r="D74" s="298">
        <v>4.3926126021925166E-2</v>
      </c>
      <c r="E74" s="298">
        <v>1.2877494467594758E-2</v>
      </c>
      <c r="F74" s="298">
        <v>4.5954157397374695E-3</v>
      </c>
      <c r="G74" s="298">
        <v>5.329225146697902E-3</v>
      </c>
      <c r="H74" s="298">
        <v>1.7455825337836627E-3</v>
      </c>
      <c r="I74" s="298">
        <v>6.1922252654432195E-3</v>
      </c>
      <c r="J74" s="298">
        <v>4.6340307760456886E-3</v>
      </c>
      <c r="K74" s="298">
        <v>1.2658928420938899E-3</v>
      </c>
      <c r="L74" s="298">
        <v>7.2345470714335765E-4</v>
      </c>
      <c r="M74" s="298">
        <v>2.8137542278655172E-3</v>
      </c>
      <c r="N74" s="298">
        <v>3.3387817150023614E-3</v>
      </c>
      <c r="O74" s="298">
        <v>7.0415228820549169E-4</v>
      </c>
      <c r="P74" s="298">
        <v>3.2866827675993235E-3</v>
      </c>
      <c r="Q74" s="298">
        <v>2.129932191298423E-3</v>
      </c>
      <c r="R74" s="298">
        <v>3.0726078205235829E-3</v>
      </c>
      <c r="S74" s="298">
        <v>3.0726078205235829E-3</v>
      </c>
      <c r="T74" s="298">
        <v>3.0726078205235829E-3</v>
      </c>
      <c r="U74" s="298">
        <v>3.0726078205235829E-3</v>
      </c>
    </row>
    <row r="75" spans="1:21" ht="14.4" x14ac:dyDescent="0.3">
      <c r="A75" s="43">
        <v>13</v>
      </c>
      <c r="B75" s="43"/>
      <c r="C75" s="1"/>
      <c r="D75" s="298">
        <v>57.626071680473594</v>
      </c>
      <c r="E75" s="298">
        <v>19.008833408591933</v>
      </c>
      <c r="F75" s="298">
        <v>6.0811074483745449</v>
      </c>
      <c r="G75" s="298">
        <v>6.4203508662030933</v>
      </c>
      <c r="H75" s="298">
        <v>4.053836065316168</v>
      </c>
      <c r="I75" s="298">
        <v>3.136813925533426</v>
      </c>
      <c r="J75" s="298">
        <v>3.2687886565984781</v>
      </c>
      <c r="K75" s="298">
        <v>3.1927019928471165</v>
      </c>
      <c r="L75" s="298">
        <v>3.1590323561450395</v>
      </c>
      <c r="M75" s="298">
        <v>3.1114405010378423</v>
      </c>
      <c r="N75" s="298">
        <v>2.9413990501469054</v>
      </c>
      <c r="O75" s="298">
        <v>2.6891381919916104</v>
      </c>
      <c r="P75" s="298">
        <v>2.4129113867682368</v>
      </c>
      <c r="Q75" s="298">
        <v>1.9019132140355048</v>
      </c>
      <c r="R75" s="298">
        <v>1.9731316672454773</v>
      </c>
      <c r="S75" s="298">
        <v>1.9731316672454773</v>
      </c>
      <c r="T75" s="298">
        <v>1.9731316672454773</v>
      </c>
      <c r="U75" s="298">
        <v>1.9731316672454773</v>
      </c>
    </row>
    <row r="76" spans="1:21" ht="14.4" x14ac:dyDescent="0.3">
      <c r="A76" s="43">
        <v>14</v>
      </c>
      <c r="B76" s="43"/>
      <c r="C76" s="1"/>
      <c r="D76" s="298">
        <v>0.20927403927484672</v>
      </c>
      <c r="E76" s="298">
        <v>5.5602611265487843E-2</v>
      </c>
      <c r="F76" s="298">
        <v>4.0150680983375708E-2</v>
      </c>
      <c r="G76" s="298">
        <v>1.1364022598705132E-2</v>
      </c>
      <c r="H76" s="298">
        <v>1.5808693433503308E-2</v>
      </c>
      <c r="I76" s="298">
        <v>1.1300571663228018E-2</v>
      </c>
      <c r="J76" s="298">
        <v>1.3986444352451872E-2</v>
      </c>
      <c r="K76" s="298">
        <v>1.3726550136797936E-2</v>
      </c>
      <c r="L76" s="298">
        <v>1.2922710779955417E-2</v>
      </c>
      <c r="M76" s="298">
        <v>6.7573395777536377E-3</v>
      </c>
      <c r="N76" s="298">
        <v>6.0541163970223889E-3</v>
      </c>
      <c r="O76" s="298">
        <v>8.8566143641728831E-4</v>
      </c>
      <c r="P76" s="298">
        <v>4.5856434142929501E-3</v>
      </c>
      <c r="Q76" s="298">
        <v>2.3769049086772155E-3</v>
      </c>
      <c r="R76" s="298">
        <v>2.1687917940923906E-3</v>
      </c>
      <c r="S76" s="298">
        <v>2.1687917940923906E-3</v>
      </c>
      <c r="T76" s="298">
        <v>2.1687917940923906E-3</v>
      </c>
      <c r="U76" s="298">
        <v>2.1687917940923906E-3</v>
      </c>
    </row>
    <row r="77" spans="1:21" ht="14.4" x14ac:dyDescent="0.3">
      <c r="A77" s="43">
        <v>15</v>
      </c>
      <c r="B77" s="43"/>
      <c r="C77" s="1"/>
      <c r="D77" s="298">
        <v>1.136851568371505</v>
      </c>
      <c r="E77" s="298">
        <v>0.23095610968918576</v>
      </c>
      <c r="F77" s="298">
        <v>0.45935010470309795</v>
      </c>
      <c r="G77" s="298">
        <v>0.33979479464125767</v>
      </c>
      <c r="H77" s="298">
        <v>0.19877874639876153</v>
      </c>
      <c r="I77" s="298">
        <v>0.6117370588990978</v>
      </c>
      <c r="J77" s="298">
        <v>0.7739736036483279</v>
      </c>
      <c r="K77" s="298">
        <v>0.47689818111624066</v>
      </c>
      <c r="L77" s="298">
        <v>0.32445444976062632</v>
      </c>
      <c r="M77" s="298">
        <v>0.24590737646040681</v>
      </c>
      <c r="N77" s="298">
        <v>0.17863761703347875</v>
      </c>
      <c r="O77" s="298">
        <v>0.15238590146764369</v>
      </c>
      <c r="P77" s="298">
        <v>0.13879587874692803</v>
      </c>
      <c r="Q77" s="298">
        <v>0.10849930149243135</v>
      </c>
      <c r="R77" s="298">
        <v>0.10438708261063094</v>
      </c>
      <c r="S77" s="298">
        <v>0.10438708261063094</v>
      </c>
      <c r="T77" s="298">
        <v>0.10438708261063094</v>
      </c>
      <c r="U77" s="298">
        <v>0.10438708261063094</v>
      </c>
    </row>
    <row r="78" spans="1:21" ht="14.4" x14ac:dyDescent="0.3">
      <c r="A78" s="43">
        <v>16</v>
      </c>
      <c r="B78" s="43"/>
      <c r="C78" s="1"/>
      <c r="D78" s="298">
        <v>0.21260480542905863</v>
      </c>
      <c r="E78" s="298">
        <v>5.5251059810874539E-2</v>
      </c>
      <c r="F78" s="298">
        <v>2.9549060045343564E-2</v>
      </c>
      <c r="G78" s="298">
        <v>1.9149260351853523E-2</v>
      </c>
      <c r="H78" s="298">
        <v>8.8894084206710914E-3</v>
      </c>
      <c r="I78" s="298">
        <v>9.8004503653837914E-3</v>
      </c>
      <c r="J78" s="298">
        <v>9.3355107602731344E-3</v>
      </c>
      <c r="K78" s="298">
        <v>1.1176506405604431E-2</v>
      </c>
      <c r="L78" s="298">
        <v>1.0797812516310075E-2</v>
      </c>
      <c r="M78" s="298">
        <v>4.9258459762198314E-3</v>
      </c>
      <c r="N78" s="298">
        <v>1.5412362332936629E-3</v>
      </c>
      <c r="O78" s="298">
        <v>1.7707278526791228E-3</v>
      </c>
      <c r="P78" s="298">
        <v>3.8905467511792919E-3</v>
      </c>
      <c r="Q78" s="298">
        <v>3.1270051788819786E-3</v>
      </c>
      <c r="R78" s="298">
        <v>2.7546885466757905E-3</v>
      </c>
      <c r="S78" s="298">
        <v>2.7546885466757905E-3</v>
      </c>
      <c r="T78" s="298">
        <v>2.7546885466757905E-3</v>
      </c>
      <c r="U78" s="298">
        <v>2.7546885466757905E-3</v>
      </c>
    </row>
    <row r="79" spans="1:21" ht="14.4" x14ac:dyDescent="0.3">
      <c r="A79" s="43">
        <v>17</v>
      </c>
      <c r="B79" s="43"/>
      <c r="C79" s="1"/>
      <c r="D79" s="299">
        <v>38.305868434141544</v>
      </c>
      <c r="E79" s="298">
        <v>5.2999903687276673</v>
      </c>
      <c r="F79" s="298">
        <v>6.2578007441416821</v>
      </c>
      <c r="G79" s="299">
        <v>3.651615692351549</v>
      </c>
      <c r="H79" s="299">
        <v>3.9361368606820331</v>
      </c>
      <c r="I79" s="299">
        <v>3.5365888642625669</v>
      </c>
      <c r="J79" s="298">
        <v>2.7954962272937816</v>
      </c>
      <c r="K79" s="298">
        <v>2.4617473384512585</v>
      </c>
      <c r="L79" s="298">
        <v>2.1281057585635259</v>
      </c>
      <c r="M79" s="298">
        <v>1.850567348179557</v>
      </c>
      <c r="N79" s="299">
        <v>1.5324828885585096</v>
      </c>
      <c r="O79" s="298">
        <v>1.4251739565426205</v>
      </c>
      <c r="P79" s="298">
        <v>1.4117622874341469</v>
      </c>
      <c r="Q79" s="298">
        <v>1.3485789449567889</v>
      </c>
      <c r="R79" s="298">
        <v>1.3516864824509252</v>
      </c>
      <c r="S79" s="298">
        <v>1.3516864824509252</v>
      </c>
      <c r="T79" s="298">
        <v>1.3516864824509252</v>
      </c>
      <c r="U79" s="298">
        <v>1.3516864824509252</v>
      </c>
    </row>
    <row r="80" spans="1:21" ht="14.4" x14ac:dyDescent="0.3">
      <c r="A80" s="43">
        <v>18</v>
      </c>
      <c r="B80" s="43"/>
      <c r="C80" s="1"/>
      <c r="D80" s="298">
        <v>6.8073317161051342E-3</v>
      </c>
      <c r="E80" s="298">
        <v>4.4855023970696963E-3</v>
      </c>
      <c r="F80" s="298">
        <v>3.7080452251308581E-3</v>
      </c>
      <c r="G80" s="298">
        <v>4.1891794258732719E-3</v>
      </c>
      <c r="H80" s="298">
        <v>2.5800652861531514E-3</v>
      </c>
      <c r="I80" s="298">
        <v>5.1323452366736095E-3</v>
      </c>
      <c r="J80" s="298">
        <v>3.2624660891922676E-3</v>
      </c>
      <c r="K80" s="298">
        <v>9.7248963017647263E-4</v>
      </c>
      <c r="L80" s="298">
        <v>5.3824967182370125E-4</v>
      </c>
      <c r="M80" s="298">
        <v>3.4207800467921257E-3</v>
      </c>
      <c r="N80" s="298">
        <v>2.3022193218101682E-3</v>
      </c>
      <c r="O80" s="298">
        <v>7.1766985210155283E-4</v>
      </c>
      <c r="P80" s="298">
        <v>1.6747979107749516E-3</v>
      </c>
      <c r="Q80" s="298">
        <v>1.0243399597807483E-3</v>
      </c>
      <c r="R80" s="298">
        <v>2.7645882744071495E-3</v>
      </c>
      <c r="S80" s="298">
        <v>2.7645882744071495E-3</v>
      </c>
      <c r="T80" s="298">
        <v>2.7645882744071495E-3</v>
      </c>
      <c r="U80" s="298">
        <v>2.7645882744071495E-3</v>
      </c>
    </row>
    <row r="81" spans="1:21" ht="14.4" x14ac:dyDescent="0.3">
      <c r="A81" s="43">
        <v>19</v>
      </c>
      <c r="B81" s="43"/>
      <c r="C81" s="1"/>
      <c r="D81" s="298">
        <v>28.12675018493254</v>
      </c>
      <c r="E81" s="298">
        <v>5.7694235730205383</v>
      </c>
      <c r="F81" s="298">
        <v>4.4923444139523241</v>
      </c>
      <c r="G81" s="298">
        <v>2.461818140179882</v>
      </c>
      <c r="H81" s="298">
        <v>1.5612033953483941</v>
      </c>
      <c r="I81" s="298">
        <v>1.435344927819425</v>
      </c>
      <c r="J81" s="298">
        <v>1.8152549557696753</v>
      </c>
      <c r="K81" s="298">
        <v>1.7533389509717254</v>
      </c>
      <c r="L81" s="298">
        <v>1.6441205577377018</v>
      </c>
      <c r="M81" s="298">
        <v>1.5015094716885002</v>
      </c>
      <c r="N81" s="298">
        <v>1.1978760529333901</v>
      </c>
      <c r="O81" s="298">
        <v>0.96493434637770215</v>
      </c>
      <c r="P81" s="298">
        <v>0.86230538911097832</v>
      </c>
      <c r="Q81" s="298">
        <v>0.87143134542122158</v>
      </c>
      <c r="R81" s="298">
        <v>0.89423887387252965</v>
      </c>
      <c r="S81" s="298">
        <v>0.89423887387252965</v>
      </c>
      <c r="T81" s="298">
        <v>0.89423887387252965</v>
      </c>
      <c r="U81" s="298">
        <v>0.89423887387252965</v>
      </c>
    </row>
    <row r="82" spans="1:21" ht="14.4" x14ac:dyDescent="0.3">
      <c r="A82" s="43">
        <v>20</v>
      </c>
      <c r="B82" s="43"/>
      <c r="C82" s="1"/>
      <c r="D82" s="298">
        <v>0.16228025606892954</v>
      </c>
      <c r="E82" s="298">
        <v>3.4304595434386999E-2</v>
      </c>
      <c r="F82" s="298">
        <v>3.603503131369204E-2</v>
      </c>
      <c r="G82" s="298">
        <v>1.3414457398225953E-2</v>
      </c>
      <c r="H82" s="298">
        <v>1.3820648138552563E-2</v>
      </c>
      <c r="I82" s="298">
        <v>1.2553645285502412E-2</v>
      </c>
      <c r="J82" s="298">
        <v>1.1519216055600136E-2</v>
      </c>
      <c r="K82" s="298">
        <v>1.2482583619361326E-2</v>
      </c>
      <c r="L82" s="298">
        <v>1.0659586926913772E-2</v>
      </c>
      <c r="M82" s="298">
        <v>3.9990621565117561E-3</v>
      </c>
      <c r="N82" s="298">
        <v>4.289924599988241E-3</v>
      </c>
      <c r="O82" s="298">
        <v>2.3631359410929234E-3</v>
      </c>
      <c r="P82" s="298">
        <v>2.0372139828744758E-3</v>
      </c>
      <c r="Q82" s="298">
        <v>2.6099379219788315E-3</v>
      </c>
      <c r="R82" s="298">
        <v>3.3164014470484933E-3</v>
      </c>
      <c r="S82" s="298">
        <v>3.3164014470484933E-3</v>
      </c>
      <c r="T82" s="298">
        <v>3.3164014470484933E-3</v>
      </c>
      <c r="U82" s="298">
        <v>3.3164014470484933E-3</v>
      </c>
    </row>
    <row r="83" spans="1:21" ht="14.4" x14ac:dyDescent="0.3">
      <c r="A83" s="43">
        <v>21</v>
      </c>
      <c r="B83" s="43"/>
      <c r="C83" s="1"/>
      <c r="D83" s="298">
        <v>0.62329316321319206</v>
      </c>
      <c r="E83" s="298">
        <v>0.38652912360520963</v>
      </c>
      <c r="F83" s="298">
        <v>0.28848587809075404</v>
      </c>
      <c r="G83" s="298">
        <v>0.2327624797312611</v>
      </c>
      <c r="H83" s="298">
        <v>0.12695962714013889</v>
      </c>
      <c r="I83" s="298">
        <v>0.43156831387325317</v>
      </c>
      <c r="J83" s="298">
        <v>0.51232861946084751</v>
      </c>
      <c r="K83" s="298">
        <v>0.33639919482821595</v>
      </c>
      <c r="L83" s="298">
        <v>0.24976274080004948</v>
      </c>
      <c r="M83" s="298">
        <v>0.20143664947276263</v>
      </c>
      <c r="N83" s="298">
        <v>0.14886071320433725</v>
      </c>
      <c r="O83" s="298">
        <v>0.11057082122039739</v>
      </c>
      <c r="P83" s="298">
        <v>8.69095877563483E-2</v>
      </c>
      <c r="Q83" s="298">
        <v>6.469840401868561E-2</v>
      </c>
      <c r="R83" s="298">
        <v>6.207334554446476E-2</v>
      </c>
      <c r="S83" s="298">
        <v>6.207334554446476E-2</v>
      </c>
      <c r="T83" s="298">
        <v>6.207334554446476E-2</v>
      </c>
      <c r="U83" s="298">
        <v>6.207334554446476E-2</v>
      </c>
    </row>
    <row r="84" spans="1:21" ht="14.4" x14ac:dyDescent="0.3">
      <c r="A84" s="43">
        <v>22</v>
      </c>
      <c r="B84" s="43"/>
      <c r="C84" s="1"/>
      <c r="D84" s="298">
        <v>0.10196628651957353</v>
      </c>
      <c r="E84" s="298">
        <v>3.8702088424270906E-2</v>
      </c>
      <c r="F84" s="298">
        <v>3.2940823141321553E-2</v>
      </c>
      <c r="G84" s="298">
        <v>1.4397088226243407E-2</v>
      </c>
      <c r="H84" s="298">
        <v>8.0433131135157904E-3</v>
      </c>
      <c r="I84" s="298">
        <v>9.1411482785596215E-3</v>
      </c>
      <c r="J84" s="298">
        <v>1.3328297513609087E-2</v>
      </c>
      <c r="K84" s="298">
        <v>9.9334339431091864E-3</v>
      </c>
      <c r="L84" s="298">
        <v>8.7776949548354632E-3</v>
      </c>
      <c r="M84" s="298">
        <v>2.8422690440152187E-3</v>
      </c>
      <c r="N84" s="298">
        <v>1.7693174251628295E-3</v>
      </c>
      <c r="O84" s="298">
        <v>2.3683965026528521E-3</v>
      </c>
      <c r="P84" s="298">
        <v>2.2687748359132434E-3</v>
      </c>
      <c r="Q84" s="298">
        <v>3.2956893394252857E-3</v>
      </c>
      <c r="R84" s="298">
        <v>3.1845733198832878E-3</v>
      </c>
      <c r="S84" s="298">
        <v>3.1845733198832878E-3</v>
      </c>
      <c r="T84" s="298">
        <v>3.1845733198832878E-3</v>
      </c>
      <c r="U84" s="298">
        <v>3.1845733198832878E-3</v>
      </c>
    </row>
    <row r="85" spans="1:21" ht="14.4" x14ac:dyDescent="0.3">
      <c r="A85" s="43">
        <v>23</v>
      </c>
      <c r="B85" s="43"/>
      <c r="C85" s="1"/>
      <c r="D85" s="298">
        <v>14.111336248333169</v>
      </c>
      <c r="E85" s="298">
        <v>4.5502762773923147</v>
      </c>
      <c r="F85" s="298">
        <v>2.8173069900787024</v>
      </c>
      <c r="G85" s="298">
        <v>2.0670952688936821</v>
      </c>
      <c r="H85" s="298">
        <v>2.2928087910650583</v>
      </c>
      <c r="I85" s="298">
        <v>1.9472020944612196</v>
      </c>
      <c r="J85" s="298">
        <v>1.3645089433593613</v>
      </c>
      <c r="K85" s="298">
        <v>1.1709027163413299</v>
      </c>
      <c r="L85" s="298">
        <v>1.0449622436221531</v>
      </c>
      <c r="M85" s="298">
        <v>0.98668776275695924</v>
      </c>
      <c r="N85" s="298">
        <v>0.97151910927620677</v>
      </c>
      <c r="O85" s="298">
        <v>0.91499109629030073</v>
      </c>
      <c r="P85" s="298">
        <v>0.81941237005377587</v>
      </c>
      <c r="Q85" s="298">
        <v>0.64151011524075341</v>
      </c>
      <c r="R85" s="298">
        <v>0.64347399672352978</v>
      </c>
      <c r="S85" s="298">
        <v>0.64347399672352978</v>
      </c>
      <c r="T85" s="298">
        <v>0.64347399672352978</v>
      </c>
      <c r="U85" s="298">
        <v>0.64347399672352978</v>
      </c>
    </row>
    <row r="86" spans="1:21" ht="14.4" x14ac:dyDescent="0.3">
      <c r="A86" s="43">
        <v>24</v>
      </c>
      <c r="B86" s="43"/>
      <c r="C86" s="1"/>
      <c r="D86" s="298">
        <v>3.6824454901743818E-2</v>
      </c>
      <c r="E86" s="298">
        <v>9.8382681602157043E-3</v>
      </c>
      <c r="F86" s="298">
        <v>2.4869442257516557E-3</v>
      </c>
      <c r="G86" s="298">
        <v>3.7823320015961076E-3</v>
      </c>
      <c r="H86" s="298">
        <v>3.0035667733548503E-3</v>
      </c>
      <c r="I86" s="298">
        <v>5.3235417328994826E-3</v>
      </c>
      <c r="J86" s="298">
        <v>5.8116700278296428E-3</v>
      </c>
      <c r="K86" s="298">
        <v>2.9855222275943743E-3</v>
      </c>
      <c r="L86" s="298">
        <v>2.3272957918215429E-3</v>
      </c>
      <c r="M86" s="298">
        <v>3.1075268606800422E-3</v>
      </c>
      <c r="N86" s="298">
        <v>1.6642059470906843E-3</v>
      </c>
      <c r="O86" s="298">
        <v>5.0465814106315395E-4</v>
      </c>
      <c r="P86" s="298">
        <v>2.4652728971896356E-3</v>
      </c>
      <c r="Q86" s="298">
        <v>5.6815989694872823E-4</v>
      </c>
      <c r="R86" s="298">
        <v>2.910084521893625E-3</v>
      </c>
      <c r="S86" s="298">
        <v>2.910084521893625E-3</v>
      </c>
      <c r="T86" s="298">
        <v>2.910084521893625E-3</v>
      </c>
      <c r="U86" s="298">
        <v>2.910084521893625E-3</v>
      </c>
    </row>
    <row r="87" spans="1:21" ht="14.4" x14ac:dyDescent="0.3">
      <c r="A87" s="43">
        <v>25</v>
      </c>
      <c r="B87" s="43"/>
      <c r="C87" s="1"/>
      <c r="D87" s="298">
        <v>9.1460847189836905</v>
      </c>
      <c r="E87" s="298">
        <v>3.3287755929835949</v>
      </c>
      <c r="F87" s="298">
        <v>2.4769082641614584</v>
      </c>
      <c r="G87" s="298">
        <v>1.4065816239828657</v>
      </c>
      <c r="H87" s="298">
        <v>0.9812541545579192</v>
      </c>
      <c r="I87" s="298">
        <v>0.87516515937476913</v>
      </c>
      <c r="J87" s="298">
        <v>1.0203047520164361</v>
      </c>
      <c r="K87" s="298">
        <v>0.89181945133108653</v>
      </c>
      <c r="L87" s="298">
        <v>0.77335390981045959</v>
      </c>
      <c r="M87" s="298">
        <v>0.680943962179267</v>
      </c>
      <c r="N87" s="298">
        <v>0.60410783726699213</v>
      </c>
      <c r="O87" s="298">
        <v>0.59625159344747769</v>
      </c>
      <c r="P87" s="298">
        <v>0.57911197721694829</v>
      </c>
      <c r="Q87" s="298">
        <v>0.47588131924725879</v>
      </c>
      <c r="R87" s="298">
        <v>0.48332856078705327</v>
      </c>
      <c r="S87" s="298">
        <v>0.48332856078705327</v>
      </c>
      <c r="T87" s="298">
        <v>0.48332856078705327</v>
      </c>
      <c r="U87" s="298">
        <v>0.48332856078705327</v>
      </c>
    </row>
    <row r="88" spans="1:21" ht="14.4" x14ac:dyDescent="0.3">
      <c r="A88" s="43">
        <v>26</v>
      </c>
      <c r="B88" s="43"/>
      <c r="C88" s="1"/>
      <c r="D88" s="298">
        <v>5.0821504219815294E-2</v>
      </c>
      <c r="E88" s="298">
        <v>5.5062549483802257E-2</v>
      </c>
      <c r="F88" s="298">
        <v>2.6569838221547654E-2</v>
      </c>
      <c r="G88" s="298">
        <v>1.7180710354120391E-2</v>
      </c>
      <c r="H88" s="298">
        <v>1.4413765296386657E-2</v>
      </c>
      <c r="I88" s="298">
        <v>1.340051166752103E-2</v>
      </c>
      <c r="J88" s="298">
        <v>1.2261667576280695E-2</v>
      </c>
      <c r="K88" s="298">
        <v>1.1494261330574136E-2</v>
      </c>
      <c r="L88" s="298">
        <v>1.1502164549246671E-2</v>
      </c>
      <c r="M88" s="298">
        <v>6.3586835670058186E-3</v>
      </c>
      <c r="N88" s="298">
        <v>5.7283366829020497E-3</v>
      </c>
      <c r="O88" s="298">
        <v>1.4156391535011382E-3</v>
      </c>
      <c r="P88" s="298">
        <v>2.35923526977449E-3</v>
      </c>
      <c r="Q88" s="298">
        <v>3.048115692564884E-3</v>
      </c>
      <c r="R88" s="298">
        <v>2.505817916151253E-3</v>
      </c>
      <c r="S88" s="298">
        <v>2.505817916151253E-3</v>
      </c>
      <c r="T88" s="298">
        <v>2.505817916151253E-3</v>
      </c>
      <c r="U88" s="298">
        <v>2.505817916151253E-3</v>
      </c>
    </row>
    <row r="89" spans="1:21" ht="14.4" x14ac:dyDescent="0.3">
      <c r="A89" s="43">
        <v>27</v>
      </c>
      <c r="B89" s="43"/>
      <c r="C89" s="1"/>
      <c r="D89" s="298">
        <v>0.21238680360962095</v>
      </c>
      <c r="E89" s="298">
        <v>0.25707405179893289</v>
      </c>
      <c r="F89" s="298">
        <v>0.16073741316951387</v>
      </c>
      <c r="G89" s="298">
        <v>0.17380962651022741</v>
      </c>
      <c r="H89" s="298">
        <v>9.1193806224074303E-2</v>
      </c>
      <c r="I89" s="298">
        <v>0.33088372878460953</v>
      </c>
      <c r="J89" s="298">
        <v>0.40809218499146371</v>
      </c>
      <c r="K89" s="298">
        <v>0.28326195110267732</v>
      </c>
      <c r="L89" s="298">
        <v>0.20563582476045428</v>
      </c>
      <c r="M89" s="298">
        <v>0.15760505021576746</v>
      </c>
      <c r="N89" s="298">
        <v>9.9377043514666238E-2</v>
      </c>
      <c r="O89" s="298">
        <v>7.5391622206023953E-2</v>
      </c>
      <c r="P89" s="298">
        <v>6.8011485955306775E-2</v>
      </c>
      <c r="Q89" s="298">
        <v>5.56664765461901E-2</v>
      </c>
      <c r="R89" s="298">
        <v>5.3354821022066533E-2</v>
      </c>
      <c r="S89" s="298">
        <v>5.3354821022066533E-2</v>
      </c>
      <c r="T89" s="298">
        <v>5.3354821022066533E-2</v>
      </c>
      <c r="U89" s="298">
        <v>5.3354821022066533E-2</v>
      </c>
    </row>
    <row r="90" spans="1:21" ht="14.4" x14ac:dyDescent="0.3">
      <c r="A90" s="43">
        <v>28</v>
      </c>
      <c r="B90" s="43"/>
      <c r="C90" s="1"/>
      <c r="D90" s="298">
        <v>1.9392625777396737E-2</v>
      </c>
      <c r="E90" s="298">
        <v>4.7102518518670457E-2</v>
      </c>
      <c r="F90" s="298">
        <v>2.8971418661601897E-2</v>
      </c>
      <c r="G90" s="298">
        <v>1.1872541264805246E-2</v>
      </c>
      <c r="H90" s="298">
        <v>6.9611130983163278E-3</v>
      </c>
      <c r="I90" s="298">
        <v>8.5362681900183323E-3</v>
      </c>
      <c r="J90" s="298">
        <v>1.2556658041302614E-2</v>
      </c>
      <c r="K90" s="298">
        <v>1.0537656791068419E-2</v>
      </c>
      <c r="L90" s="298">
        <v>9.2930775732190107E-3</v>
      </c>
      <c r="M90" s="298">
        <v>3.3090135809581808E-3</v>
      </c>
      <c r="N90" s="298">
        <v>8.4429509332862738E-4</v>
      </c>
      <c r="O90" s="298">
        <v>1.7536756837702497E-3</v>
      </c>
      <c r="P90" s="298">
        <v>1.2486380283558422E-3</v>
      </c>
      <c r="Q90" s="298">
        <v>3.2293207653354824E-3</v>
      </c>
      <c r="R90" s="298">
        <v>2.7333925969108054E-3</v>
      </c>
      <c r="S90" s="298">
        <v>2.7333925969108054E-3</v>
      </c>
      <c r="T90" s="298">
        <v>2.7333925969108054E-3</v>
      </c>
      <c r="U90" s="298">
        <v>2.7333925969108054E-3</v>
      </c>
    </row>
    <row r="91" spans="1:21" ht="14.4" x14ac:dyDescent="0.3">
      <c r="A91" s="43">
        <v>29</v>
      </c>
      <c r="B91" s="43"/>
      <c r="C91" s="1"/>
      <c r="D91" s="298">
        <v>6.5146861253923207</v>
      </c>
      <c r="E91" s="298">
        <v>2.6788137999966111</v>
      </c>
      <c r="F91" s="298">
        <v>1.6106667515221753</v>
      </c>
      <c r="G91" s="298">
        <v>1.3975423047728013</v>
      </c>
      <c r="H91" s="298">
        <v>1.3999934630363924</v>
      </c>
      <c r="I91" s="298">
        <v>1.0907850218496227</v>
      </c>
      <c r="J91" s="298">
        <v>0.75870567381450926</v>
      </c>
      <c r="K91" s="298">
        <v>0.75678843679568575</v>
      </c>
      <c r="L91" s="298">
        <v>0.75575983296320848</v>
      </c>
      <c r="M91" s="298">
        <v>0.72478506133268517</v>
      </c>
      <c r="N91" s="298">
        <v>0.61840577400138186</v>
      </c>
      <c r="O91" s="298">
        <v>0.50578743449988961</v>
      </c>
      <c r="P91" s="298">
        <v>0.46727025134098182</v>
      </c>
      <c r="Q91" s="298">
        <v>0.45386743782930422</v>
      </c>
      <c r="R91" s="298">
        <v>0.4514293951690499</v>
      </c>
      <c r="S91" s="298">
        <v>0.4514293951690499</v>
      </c>
      <c r="T91" s="298">
        <v>0.4514293951690499</v>
      </c>
      <c r="U91" s="298">
        <v>0.4514293951690499</v>
      </c>
    </row>
    <row r="92" spans="1:21" ht="14.4" x14ac:dyDescent="0.3">
      <c r="A92" s="43">
        <v>30</v>
      </c>
      <c r="B92" s="43"/>
      <c r="C92" s="1"/>
      <c r="D92" s="298">
        <v>3.4884370898550648E-2</v>
      </c>
      <c r="E92" s="298">
        <v>4.1765772225850796E-3</v>
      </c>
      <c r="F92" s="298">
        <v>3.1945642193693534E-3</v>
      </c>
      <c r="G92" s="298">
        <v>3.60287707209932E-3</v>
      </c>
      <c r="H92" s="298">
        <v>3.2920300374340902E-3</v>
      </c>
      <c r="I92" s="298">
        <v>5.0314868423076246E-3</v>
      </c>
      <c r="J92" s="298">
        <v>4.6053075814346854E-3</v>
      </c>
      <c r="K92" s="298">
        <v>3.6991571943863818E-3</v>
      </c>
      <c r="L92" s="298">
        <v>1.9564019833816105E-3</v>
      </c>
      <c r="M92" s="298">
        <v>2.8717553777810353E-3</v>
      </c>
      <c r="N92" s="298">
        <v>2.6821760992090326E-3</v>
      </c>
      <c r="O92" s="298">
        <v>5.3985110846739104E-4</v>
      </c>
      <c r="P92" s="298">
        <v>8.6189772740157076E-4</v>
      </c>
      <c r="Q92" s="298">
        <v>7.0587971191137216E-4</v>
      </c>
      <c r="R92" s="298">
        <v>2.5967183728580682E-3</v>
      </c>
      <c r="S92" s="298">
        <v>2.5967183728580682E-3</v>
      </c>
      <c r="T92" s="298">
        <v>2.5967183728580682E-3</v>
      </c>
      <c r="U92" s="298">
        <v>2.5967183728580682E-3</v>
      </c>
    </row>
    <row r="93" spans="1:21" ht="14.4" x14ac:dyDescent="0.3">
      <c r="A93" s="43">
        <v>31</v>
      </c>
      <c r="B93" s="43"/>
      <c r="C93" s="1"/>
      <c r="D93" s="298">
        <v>6.3339107327432735</v>
      </c>
      <c r="E93" s="298">
        <v>2.4858685050570775</v>
      </c>
      <c r="F93" s="298">
        <v>1.4322222537619056</v>
      </c>
      <c r="G93" s="298">
        <v>0.82280279165842463</v>
      </c>
      <c r="H93" s="298">
        <v>0.68512353629472578</v>
      </c>
      <c r="I93" s="298">
        <v>0.58112005814292844</v>
      </c>
      <c r="J93" s="298">
        <v>0.56772740214173922</v>
      </c>
      <c r="K93" s="298">
        <v>0.46221863452787271</v>
      </c>
      <c r="L93" s="298">
        <v>0.42486576546865334</v>
      </c>
      <c r="M93" s="298">
        <v>0.43056874893088998</v>
      </c>
      <c r="N93" s="298">
        <v>0.43268010175951643</v>
      </c>
      <c r="O93" s="298">
        <v>0.37617527613812002</v>
      </c>
      <c r="P93" s="298">
        <v>0.31678577460681751</v>
      </c>
      <c r="Q93" s="298">
        <v>0.30877008317967913</v>
      </c>
      <c r="R93" s="298">
        <v>0.3120658886678041</v>
      </c>
      <c r="S93" s="298">
        <v>0.3120658886678041</v>
      </c>
      <c r="T93" s="298">
        <v>0.3120658886678041</v>
      </c>
      <c r="U93" s="298">
        <v>0.3120658886678041</v>
      </c>
    </row>
    <row r="94" spans="1:21" ht="14.4" x14ac:dyDescent="0.3">
      <c r="A94" s="43">
        <v>32</v>
      </c>
      <c r="B94" s="43"/>
      <c r="C94" s="1"/>
      <c r="D94" s="298">
        <v>4.6506205535545839E-2</v>
      </c>
      <c r="E94" s="298">
        <v>3.3260518350729629E-2</v>
      </c>
      <c r="F94" s="298">
        <v>2.9586195514357663E-2</v>
      </c>
      <c r="G94" s="298">
        <v>1.9535797704362808E-2</v>
      </c>
      <c r="H94" s="298">
        <v>1.4563606306652922E-2</v>
      </c>
      <c r="I94" s="298">
        <v>1.305927336868163E-2</v>
      </c>
      <c r="J94" s="298">
        <v>8.8970610246392086E-3</v>
      </c>
      <c r="K94" s="298">
        <v>1.1901375104307985E-2</v>
      </c>
      <c r="L94" s="298">
        <v>1.1921658515740853E-2</v>
      </c>
      <c r="M94" s="298">
        <v>5.9187663071225798E-3</v>
      </c>
      <c r="N94" s="298">
        <v>4.587462629749072E-3</v>
      </c>
      <c r="O94" s="298">
        <v>1.2699646308248702E-3</v>
      </c>
      <c r="P94" s="298">
        <v>2.2444292602197963E-3</v>
      </c>
      <c r="Q94" s="298">
        <v>2.8384966763810126E-3</v>
      </c>
      <c r="R94" s="298">
        <v>2.9287371239286731E-3</v>
      </c>
      <c r="S94" s="298">
        <v>2.9287371239286731E-3</v>
      </c>
      <c r="T94" s="298">
        <v>2.9287371239286731E-3</v>
      </c>
      <c r="U94" s="298">
        <v>2.9287371239286731E-3</v>
      </c>
    </row>
    <row r="95" spans="1:21" ht="14.4" x14ac:dyDescent="0.3">
      <c r="A95" s="43">
        <v>33</v>
      </c>
      <c r="B95" s="43"/>
      <c r="C95" s="1"/>
      <c r="D95" s="298">
        <v>0.30274927892914244</v>
      </c>
      <c r="E95" s="298">
        <v>1.7216657169820748E-2</v>
      </c>
      <c r="F95" s="298">
        <v>0.12233571605865014</v>
      </c>
      <c r="G95" s="298">
        <v>0.13605621192601108</v>
      </c>
      <c r="H95" s="298">
        <v>7.0763148414675126E-2</v>
      </c>
      <c r="I95" s="298">
        <v>0.26563628264177047</v>
      </c>
      <c r="J95" s="298">
        <v>0.34165566585023771</v>
      </c>
      <c r="K95" s="298">
        <v>0.22742267911109676</v>
      </c>
      <c r="L95" s="298">
        <v>0.15381673439332844</v>
      </c>
      <c r="M95" s="298">
        <v>0.11558930646976719</v>
      </c>
      <c r="N95" s="298">
        <v>8.4151409301761251E-2</v>
      </c>
      <c r="O95" s="298">
        <v>6.7503639523961864E-2</v>
      </c>
      <c r="P95" s="298">
        <v>5.6413371607669127E-2</v>
      </c>
      <c r="Q95" s="298">
        <v>4.1647697018963321E-2</v>
      </c>
      <c r="R95" s="298">
        <v>3.9799798597555773E-2</v>
      </c>
      <c r="S95" s="298">
        <v>3.9799798597555773E-2</v>
      </c>
      <c r="T95" s="298">
        <v>3.9799798597555773E-2</v>
      </c>
      <c r="U95" s="298">
        <v>3.9799798597555773E-2</v>
      </c>
    </row>
    <row r="96" spans="1:21" ht="14.4" x14ac:dyDescent="0.3">
      <c r="A96" s="43">
        <v>34</v>
      </c>
      <c r="B96" s="43"/>
      <c r="C96" s="1"/>
      <c r="D96" s="298">
        <v>0.15658261184107439</v>
      </c>
      <c r="E96" s="298">
        <v>6.9206297258360139E-2</v>
      </c>
      <c r="F96" s="298">
        <v>0.11719738000471913</v>
      </c>
      <c r="G96" s="298">
        <v>9.0950515996728487E-2</v>
      </c>
      <c r="H96" s="298">
        <v>5.6069430808107633E-2</v>
      </c>
      <c r="I96" s="298">
        <v>0.18457651004529252</v>
      </c>
      <c r="J96" s="298">
        <v>0.21861320828195963</v>
      </c>
      <c r="K96" s="298">
        <v>0.14805460867942424</v>
      </c>
      <c r="L96" s="298">
        <v>0.10865726471480185</v>
      </c>
      <c r="M96" s="298">
        <v>8.7921961526698345E-2</v>
      </c>
      <c r="N96" s="298">
        <v>5.8256465500538285E-2</v>
      </c>
      <c r="O96" s="298">
        <v>4.4253058727944716E-2</v>
      </c>
      <c r="P96" s="298">
        <v>3.9509788445304235E-2</v>
      </c>
      <c r="Q96" s="298">
        <v>2.9542651780987427E-2</v>
      </c>
      <c r="R96" s="298">
        <v>2.8071591122090556E-2</v>
      </c>
      <c r="S96" s="298">
        <v>2.8071591122090556E-2</v>
      </c>
      <c r="T96" s="298">
        <v>2.8071591122090556E-2</v>
      </c>
      <c r="U96" s="298">
        <v>2.8071591122090556E-2</v>
      </c>
    </row>
    <row r="97" spans="1:21" ht="14.4" x14ac:dyDescent="0.3">
      <c r="A97" s="43">
        <v>35</v>
      </c>
      <c r="B97" s="43"/>
      <c r="C97" s="1"/>
      <c r="D97" s="298">
        <v>5.9029852258662023</v>
      </c>
      <c r="E97" s="298">
        <v>1.4733260588243429</v>
      </c>
      <c r="F97" s="298">
        <v>1.2803616292235322</v>
      </c>
      <c r="G97" s="298">
        <v>1.0290257258239199</v>
      </c>
      <c r="H97" s="298">
        <v>0.95078684693100002</v>
      </c>
      <c r="I97" s="298">
        <v>0.68755518357204037</v>
      </c>
      <c r="J97" s="298">
        <v>0.51648077967213191</v>
      </c>
      <c r="K97" s="298">
        <v>0.5658478637815777</v>
      </c>
      <c r="L97" s="298">
        <v>0.55172205299175037</v>
      </c>
      <c r="M97" s="298">
        <v>0.48796466250698262</v>
      </c>
      <c r="N97" s="298">
        <v>0.39029335703643686</v>
      </c>
      <c r="O97" s="298">
        <v>0.36343466624775511</v>
      </c>
      <c r="P97" s="298">
        <v>0.35166631128246867</v>
      </c>
      <c r="Q97" s="298">
        <v>0.28545240285608292</v>
      </c>
      <c r="R97" s="298">
        <v>0.28281840150514814</v>
      </c>
      <c r="S97" s="298">
        <v>0.28281840150514814</v>
      </c>
      <c r="T97" s="298">
        <v>0.28281840150514814</v>
      </c>
      <c r="U97" s="298">
        <v>0.28281840150514814</v>
      </c>
    </row>
    <row r="98" spans="1:21" ht="14.4" x14ac:dyDescent="0.3">
      <c r="A98" s="43">
        <v>36</v>
      </c>
      <c r="B98" s="43"/>
      <c r="C98" s="1"/>
      <c r="D98" s="298">
        <v>0.15658261184107439</v>
      </c>
      <c r="E98" s="298">
        <v>6.9206297258360139E-2</v>
      </c>
      <c r="F98" s="298">
        <v>0.11719738000471913</v>
      </c>
      <c r="G98" s="298">
        <v>9.0950515996728487E-2</v>
      </c>
      <c r="H98" s="298">
        <v>5.6069430808107633E-2</v>
      </c>
      <c r="I98" s="298">
        <v>0.18457651004529252</v>
      </c>
      <c r="J98" s="298">
        <v>0.21861320828195963</v>
      </c>
      <c r="K98" s="298">
        <v>0.14805460867942424</v>
      </c>
      <c r="L98" s="298">
        <v>0.10865726471480185</v>
      </c>
      <c r="M98" s="298">
        <v>8.7921961526698345E-2</v>
      </c>
      <c r="N98" s="298">
        <v>5.8256465500538285E-2</v>
      </c>
      <c r="O98" s="298">
        <v>4.4253058727944716E-2</v>
      </c>
      <c r="P98" s="298">
        <v>3.9509788445304235E-2</v>
      </c>
      <c r="Q98" s="298">
        <v>2.9542651780987427E-2</v>
      </c>
      <c r="R98" s="298">
        <v>2.8071591122090556E-2</v>
      </c>
      <c r="S98" s="298">
        <v>2.8071591122090556E-2</v>
      </c>
      <c r="T98" s="298">
        <v>2.8071591122090556E-2</v>
      </c>
      <c r="U98" s="298">
        <v>2.8071591122090556E-2</v>
      </c>
    </row>
    <row r="99" spans="1:21" ht="14.4" x14ac:dyDescent="0.3">
      <c r="A99" s="43">
        <v>37</v>
      </c>
      <c r="B99" s="43"/>
      <c r="C99" s="1"/>
      <c r="D99" s="298">
        <v>4.7242605294817244</v>
      </c>
      <c r="E99" s="298">
        <v>1.4147795985274163</v>
      </c>
      <c r="F99" s="298">
        <v>0.86563302172429457</v>
      </c>
      <c r="G99" s="298">
        <v>0.58792408051231626</v>
      </c>
      <c r="H99" s="298">
        <v>0.44571284137714501</v>
      </c>
      <c r="I99" s="298">
        <v>0.35071388358174704</v>
      </c>
      <c r="J99" s="298">
        <v>0.34192356461046053</v>
      </c>
      <c r="K99" s="298">
        <v>0.32136315457507253</v>
      </c>
      <c r="L99" s="298">
        <v>0.32334277343163409</v>
      </c>
      <c r="M99" s="298">
        <v>0.31458122808120276</v>
      </c>
      <c r="N99" s="298">
        <v>0.26038899134139826</v>
      </c>
      <c r="O99" s="298">
        <v>0.23293659142238254</v>
      </c>
      <c r="P99" s="298">
        <v>0.23495243567481122</v>
      </c>
      <c r="Q99" s="298">
        <v>0.1983093021126322</v>
      </c>
      <c r="R99" s="298">
        <v>0.19995839901366486</v>
      </c>
      <c r="S99" s="298">
        <v>0.19995839901366486</v>
      </c>
      <c r="T99" s="298">
        <v>0.19995839901366486</v>
      </c>
      <c r="U99" s="298">
        <v>0.19995839901366486</v>
      </c>
    </row>
    <row r="100" spans="1:21" ht="14.4" x14ac:dyDescent="0.3">
      <c r="A100" s="43">
        <v>38</v>
      </c>
      <c r="B100" s="43"/>
      <c r="C100" s="1"/>
      <c r="D100" s="298">
        <v>0.15658261184107439</v>
      </c>
      <c r="E100" s="298">
        <v>6.9206297258360139E-2</v>
      </c>
      <c r="F100" s="298">
        <v>0.11719738000471913</v>
      </c>
      <c r="G100" s="298">
        <v>9.0950515996728487E-2</v>
      </c>
      <c r="H100" s="298">
        <v>5.6069430808107633E-2</v>
      </c>
      <c r="I100" s="298">
        <v>0.18457651004529252</v>
      </c>
      <c r="J100" s="298">
        <v>0.21861320828195963</v>
      </c>
      <c r="K100" s="298">
        <v>0.14805460867942424</v>
      </c>
      <c r="L100" s="298">
        <v>0.10865726471480185</v>
      </c>
      <c r="M100" s="298">
        <v>8.7921961526698345E-2</v>
      </c>
      <c r="N100" s="298">
        <v>5.8256465500538285E-2</v>
      </c>
      <c r="O100" s="298">
        <v>4.4253058727944716E-2</v>
      </c>
      <c r="P100" s="298">
        <v>3.9509788445304235E-2</v>
      </c>
      <c r="Q100" s="298">
        <v>2.9542651780987427E-2</v>
      </c>
      <c r="R100" s="298">
        <v>2.8071591122090556E-2</v>
      </c>
      <c r="S100" s="298">
        <v>2.8071591122090556E-2</v>
      </c>
      <c r="T100" s="298">
        <v>2.8071591122090556E-2</v>
      </c>
      <c r="U100" s="298">
        <v>2.8071591122090556E-2</v>
      </c>
    </row>
    <row r="101" spans="1:21" ht="14.4" x14ac:dyDescent="0.3">
      <c r="A101" s="43">
        <v>39</v>
      </c>
      <c r="B101" s="43"/>
      <c r="C101" s="1"/>
      <c r="D101" s="298">
        <v>0.2079850899943797</v>
      </c>
      <c r="E101" s="298">
        <v>0.13041647508011303</v>
      </c>
      <c r="F101" s="298">
        <v>0.12947509110634475</v>
      </c>
      <c r="G101" s="298">
        <v>0.11009404781577684</v>
      </c>
      <c r="H101" s="298">
        <v>6.014929527512837E-2</v>
      </c>
      <c r="I101" s="298">
        <v>0.21949671273146126</v>
      </c>
      <c r="J101" s="298">
        <v>0.27640701454444089</v>
      </c>
      <c r="K101" s="298">
        <v>0.17818419975534588</v>
      </c>
      <c r="L101" s="298">
        <v>0.12256174642203793</v>
      </c>
      <c r="M101" s="298">
        <v>9.8387203409769475E-2</v>
      </c>
      <c r="N101" s="298">
        <v>7.1958024598108364E-2</v>
      </c>
      <c r="O101" s="298">
        <v>5.1366620792552581E-2</v>
      </c>
      <c r="P101" s="298">
        <v>4.2850088405828553E-2</v>
      </c>
      <c r="Q101" s="298">
        <v>3.5922322150466021E-2</v>
      </c>
      <c r="R101" s="298">
        <v>3.4556391879303032E-2</v>
      </c>
      <c r="S101" s="298">
        <v>3.4556391879303032E-2</v>
      </c>
      <c r="T101" s="298">
        <v>3.4556391879303032E-2</v>
      </c>
      <c r="U101" s="298">
        <v>3.4556391879303032E-2</v>
      </c>
    </row>
    <row r="102" spans="1:21" ht="14.4" x14ac:dyDescent="0.3">
      <c r="A102" s="43">
        <v>40</v>
      </c>
      <c r="B102" s="43"/>
      <c r="C102" s="1"/>
      <c r="D102" s="298">
        <v>0.15658261184107439</v>
      </c>
      <c r="E102" s="298">
        <v>6.9206297258360139E-2</v>
      </c>
      <c r="F102" s="298">
        <v>0.11719738000471913</v>
      </c>
      <c r="G102" s="298">
        <v>9.0950515996728487E-2</v>
      </c>
      <c r="H102" s="298">
        <v>5.6069430808107633E-2</v>
      </c>
      <c r="I102" s="298">
        <v>0.18457651004529252</v>
      </c>
      <c r="J102" s="298">
        <v>0.21861320828195963</v>
      </c>
      <c r="K102" s="298">
        <v>0.14805460867942424</v>
      </c>
      <c r="L102" s="298">
        <v>0.10865726471480185</v>
      </c>
      <c r="M102" s="298">
        <v>8.7921961526698345E-2</v>
      </c>
      <c r="N102" s="298">
        <v>5.8256465500538285E-2</v>
      </c>
      <c r="O102" s="298">
        <v>4.4253058727944716E-2</v>
      </c>
      <c r="P102" s="298">
        <v>3.9509788445304235E-2</v>
      </c>
      <c r="Q102" s="298">
        <v>2.9542651780987427E-2</v>
      </c>
      <c r="R102" s="298">
        <v>2.8071591122090556E-2</v>
      </c>
      <c r="S102" s="298">
        <v>2.8071591122090556E-2</v>
      </c>
      <c r="T102" s="298">
        <v>2.8071591122090556E-2</v>
      </c>
      <c r="U102" s="298">
        <v>2.8071591122090556E-2</v>
      </c>
    </row>
    <row r="103" spans="1:21" ht="14.4" x14ac:dyDescent="0.3">
      <c r="A103" s="43">
        <v>41</v>
      </c>
      <c r="B103" s="43"/>
      <c r="C103" s="1"/>
      <c r="D103" s="298">
        <v>2.9593523720748518</v>
      </c>
      <c r="E103" s="298">
        <v>1.3960448536050045</v>
      </c>
      <c r="F103" s="298">
        <v>0.9788469484846104</v>
      </c>
      <c r="G103" s="298">
        <v>0.76626902234982497</v>
      </c>
      <c r="H103" s="298">
        <v>0.64986432358583057</v>
      </c>
      <c r="I103" s="298">
        <v>0.49479101470748305</v>
      </c>
      <c r="J103" s="298">
        <v>0.39951328972932304</v>
      </c>
      <c r="K103" s="298">
        <v>0.41594580564321404</v>
      </c>
      <c r="L103" s="298">
        <v>0.37579029347140652</v>
      </c>
      <c r="M103" s="298">
        <v>0.32440122806902955</v>
      </c>
      <c r="N103" s="298">
        <v>0.30529874652047795</v>
      </c>
      <c r="O103" s="298">
        <v>0.272856325769609</v>
      </c>
      <c r="P103" s="298">
        <v>0.23528249165808171</v>
      </c>
      <c r="Q103" s="298">
        <v>0.21930268062364178</v>
      </c>
      <c r="R103" s="298">
        <v>0.21942223358685053</v>
      </c>
      <c r="S103" s="298">
        <v>0.21942223358685053</v>
      </c>
      <c r="T103" s="298">
        <v>0.21942223358685053</v>
      </c>
      <c r="U103" s="298">
        <v>0.21942223358685053</v>
      </c>
    </row>
    <row r="104" spans="1:21" ht="14.4" x14ac:dyDescent="0.3">
      <c r="A104" s="43">
        <v>42</v>
      </c>
      <c r="B104" s="43"/>
      <c r="C104" s="1"/>
      <c r="D104" s="298">
        <v>0.15658261184107439</v>
      </c>
      <c r="E104" s="298">
        <v>6.9206297258360139E-2</v>
      </c>
      <c r="F104" s="298">
        <v>0.11719738000471913</v>
      </c>
      <c r="G104" s="298">
        <v>9.0950515996728487E-2</v>
      </c>
      <c r="H104" s="298">
        <v>5.6069430808107633E-2</v>
      </c>
      <c r="I104" s="298">
        <v>0.18457651004529252</v>
      </c>
      <c r="J104" s="298">
        <v>0.21861320828195963</v>
      </c>
      <c r="K104" s="298">
        <v>0.14805460867942424</v>
      </c>
      <c r="L104" s="298">
        <v>0.10865726471480185</v>
      </c>
      <c r="M104" s="298">
        <v>8.7921961526698345E-2</v>
      </c>
      <c r="N104" s="298">
        <v>5.8256465500538285E-2</v>
      </c>
      <c r="O104" s="298">
        <v>4.4253058727944716E-2</v>
      </c>
      <c r="P104" s="298">
        <v>3.9509788445304235E-2</v>
      </c>
      <c r="Q104" s="298">
        <v>2.9542651780987427E-2</v>
      </c>
      <c r="R104" s="298">
        <v>2.8071591122090556E-2</v>
      </c>
      <c r="S104" s="298">
        <v>2.8071591122090556E-2</v>
      </c>
      <c r="T104" s="298">
        <v>2.8071591122090556E-2</v>
      </c>
      <c r="U104" s="298">
        <v>2.8071591122090556E-2</v>
      </c>
    </row>
    <row r="105" spans="1:21" ht="14.4" x14ac:dyDescent="0.3">
      <c r="A105" s="43">
        <v>43</v>
      </c>
      <c r="B105" s="43"/>
      <c r="C105" s="1"/>
      <c r="D105" s="298">
        <v>2.2178560512821952</v>
      </c>
      <c r="E105" s="298">
        <v>1.1905972320783262</v>
      </c>
      <c r="F105" s="298">
        <v>0.75615175660327605</v>
      </c>
      <c r="G105" s="298">
        <v>0.45362551647456517</v>
      </c>
      <c r="H105" s="298">
        <v>0.28528173727691464</v>
      </c>
      <c r="I105" s="298">
        <v>0.21779752656057286</v>
      </c>
      <c r="J105" s="298">
        <v>0.25538951981730396</v>
      </c>
      <c r="K105" s="298">
        <v>0.24818871965708805</v>
      </c>
      <c r="L105" s="298">
        <v>0.22308863199724832</v>
      </c>
      <c r="M105" s="298">
        <v>0.19779080449305989</v>
      </c>
      <c r="N105" s="298">
        <v>0.1877023014843526</v>
      </c>
      <c r="O105" s="298">
        <v>0.18024721970812474</v>
      </c>
      <c r="P105" s="298">
        <v>0.14969356494618877</v>
      </c>
      <c r="Q105" s="298">
        <v>0.15402172112964774</v>
      </c>
      <c r="R105" s="298">
        <v>0.14788153997371078</v>
      </c>
      <c r="S105" s="298">
        <v>0.14788153997371078</v>
      </c>
      <c r="T105" s="298">
        <v>0.14788153997371078</v>
      </c>
      <c r="U105" s="298">
        <v>0.14788153997371078</v>
      </c>
    </row>
    <row r="106" spans="1:21" ht="14.4" x14ac:dyDescent="0.3">
      <c r="A106" s="43">
        <v>44</v>
      </c>
      <c r="B106" s="43"/>
      <c r="C106" s="1"/>
      <c r="D106" s="298">
        <v>0.15658261184107439</v>
      </c>
      <c r="E106" s="298">
        <v>6.9206297258360139E-2</v>
      </c>
      <c r="F106" s="298">
        <v>0.11719738000471913</v>
      </c>
      <c r="G106" s="298">
        <v>9.0950515996728487E-2</v>
      </c>
      <c r="H106" s="298">
        <v>5.6069430808107633E-2</v>
      </c>
      <c r="I106" s="298">
        <v>0.18457651004529252</v>
      </c>
      <c r="J106" s="298">
        <v>0.21861320828195963</v>
      </c>
      <c r="K106" s="298">
        <v>0.14805460867942424</v>
      </c>
      <c r="L106" s="298">
        <v>0.10865726471480185</v>
      </c>
      <c r="M106" s="298">
        <v>8.7921961526698345E-2</v>
      </c>
      <c r="N106" s="298">
        <v>5.8256465500538285E-2</v>
      </c>
      <c r="O106" s="298">
        <v>4.4253058727944716E-2</v>
      </c>
      <c r="P106" s="298">
        <v>3.9509788445304235E-2</v>
      </c>
      <c r="Q106" s="298">
        <v>2.9542651780987427E-2</v>
      </c>
      <c r="R106" s="298">
        <v>2.8071591122090556E-2</v>
      </c>
      <c r="S106" s="298">
        <v>2.8071591122090556E-2</v>
      </c>
      <c r="T106" s="298">
        <v>2.8071591122090556E-2</v>
      </c>
      <c r="U106" s="298">
        <v>2.8071591122090556E-2</v>
      </c>
    </row>
    <row r="107" spans="1:21" ht="14.4" x14ac:dyDescent="0.3">
      <c r="A107" s="43">
        <v>45</v>
      </c>
      <c r="B107" s="43"/>
      <c r="C107" s="1"/>
      <c r="D107" s="298">
        <v>0.15674381381219379</v>
      </c>
      <c r="E107" s="298">
        <v>6.9135515452953725E-2</v>
      </c>
      <c r="F107" s="298">
        <v>0.11721931861181524</v>
      </c>
      <c r="G107" s="298">
        <v>9.0976276916425139E-2</v>
      </c>
      <c r="H107" s="298">
        <v>5.5974795488511517E-2</v>
      </c>
      <c r="I107" s="298">
        <v>0.18455139999068912</v>
      </c>
      <c r="J107" s="298">
        <v>0.21866515563030009</v>
      </c>
      <c r="K107" s="298">
        <v>0.14808361462956454</v>
      </c>
      <c r="L107" s="298">
        <v>0.10867252849450271</v>
      </c>
      <c r="M107" s="298">
        <v>8.7932880027034033E-2</v>
      </c>
      <c r="N107" s="298">
        <v>5.8261619608528936E-2</v>
      </c>
      <c r="O107" s="298">
        <v>4.4254803859095013E-2</v>
      </c>
      <c r="P107" s="298">
        <v>3.9511622355493263E-2</v>
      </c>
      <c r="Q107" s="298">
        <v>2.9543012509050892E-2</v>
      </c>
      <c r="R107" s="298">
        <v>2.8071590865564936E-2</v>
      </c>
      <c r="S107" s="298">
        <v>2.8071590865564936E-2</v>
      </c>
      <c r="T107" s="298">
        <v>2.8071590865564936E-2</v>
      </c>
      <c r="U107" s="298">
        <v>2.8071590865564936E-2</v>
      </c>
    </row>
    <row r="108" spans="1:21" ht="14.4" x14ac:dyDescent="0.3">
      <c r="A108" s="43">
        <v>46</v>
      </c>
      <c r="B108" s="43"/>
      <c r="C108" s="1"/>
      <c r="D108" s="298">
        <v>0.15658261184107439</v>
      </c>
      <c r="E108" s="298">
        <v>6.9206297258360139E-2</v>
      </c>
      <c r="F108" s="298">
        <v>0.11719738000471913</v>
      </c>
      <c r="G108" s="298">
        <v>9.0950515996728487E-2</v>
      </c>
      <c r="H108" s="298">
        <v>5.6069430808107633E-2</v>
      </c>
      <c r="I108" s="298">
        <v>0.18457651004529252</v>
      </c>
      <c r="J108" s="298">
        <v>0.21861320828195963</v>
      </c>
      <c r="K108" s="298">
        <v>0.14805460867942424</v>
      </c>
      <c r="L108" s="298">
        <v>0.10865726471480185</v>
      </c>
      <c r="M108" s="298">
        <v>8.7921961526698345E-2</v>
      </c>
      <c r="N108" s="298">
        <v>5.8256465500538285E-2</v>
      </c>
      <c r="O108" s="298">
        <v>4.4253058727944716E-2</v>
      </c>
      <c r="P108" s="298">
        <v>3.9509788445304235E-2</v>
      </c>
      <c r="Q108" s="298">
        <v>2.9542651780987427E-2</v>
      </c>
      <c r="R108" s="298">
        <v>2.8071591122090556E-2</v>
      </c>
      <c r="S108" s="298">
        <v>2.8071591122090556E-2</v>
      </c>
      <c r="T108" s="298">
        <v>2.8071591122090556E-2</v>
      </c>
      <c r="U108" s="298">
        <v>2.8071591122090556E-2</v>
      </c>
    </row>
    <row r="109" spans="1:21" ht="14.4" x14ac:dyDescent="0.3">
      <c r="A109" s="43">
        <v>47</v>
      </c>
      <c r="B109" s="43"/>
      <c r="C109" s="1"/>
      <c r="D109" s="298">
        <v>2.3268630691236321</v>
      </c>
      <c r="E109" s="298">
        <v>0.78641478977548207</v>
      </c>
      <c r="F109" s="298">
        <v>0.65683719239534155</v>
      </c>
      <c r="G109" s="298">
        <v>0.58143321676267457</v>
      </c>
      <c r="H109" s="298">
        <v>0.44928960665019158</v>
      </c>
      <c r="I109" s="298">
        <v>0.41294151992551731</v>
      </c>
      <c r="J109" s="298">
        <v>0.2940568330031525</v>
      </c>
      <c r="K109" s="298">
        <v>0.2786885915405366</v>
      </c>
      <c r="L109" s="298">
        <v>0.26697263616116279</v>
      </c>
      <c r="M109" s="298">
        <v>0.26064585390490097</v>
      </c>
      <c r="N109" s="298">
        <v>0.2367936036530196</v>
      </c>
      <c r="O109" s="298">
        <v>0.19038468562778788</v>
      </c>
      <c r="P109" s="298">
        <v>0.18456070692514012</v>
      </c>
      <c r="Q109" s="298">
        <v>0.16108516476637483</v>
      </c>
      <c r="R109" s="298">
        <v>0.15522073313539117</v>
      </c>
      <c r="S109" s="298">
        <v>0.15522073313539117</v>
      </c>
      <c r="T109" s="298">
        <v>0.15522073313539117</v>
      </c>
      <c r="U109" s="298">
        <v>0.15522073313539117</v>
      </c>
    </row>
    <row r="110" spans="1:21" ht="14.4" x14ac:dyDescent="0.3">
      <c r="A110" s="43">
        <v>48</v>
      </c>
      <c r="B110" s="43"/>
      <c r="C110" s="1"/>
      <c r="D110" s="298">
        <v>0.15658261184107439</v>
      </c>
      <c r="E110" s="298">
        <v>6.9206297258360139E-2</v>
      </c>
      <c r="F110" s="298">
        <v>0.11719738000471913</v>
      </c>
      <c r="G110" s="298">
        <v>9.0950515996728487E-2</v>
      </c>
      <c r="H110" s="298">
        <v>5.6069430808107633E-2</v>
      </c>
      <c r="I110" s="298">
        <v>0.18457651004529252</v>
      </c>
      <c r="J110" s="298">
        <v>0.21861320828195963</v>
      </c>
      <c r="K110" s="298">
        <v>0.14805460867942424</v>
      </c>
      <c r="L110" s="298">
        <v>0.10865726471480185</v>
      </c>
      <c r="M110" s="298">
        <v>8.7921961526698345E-2</v>
      </c>
      <c r="N110" s="298">
        <v>5.8256465500538285E-2</v>
      </c>
      <c r="O110" s="298">
        <v>4.4253058727944716E-2</v>
      </c>
      <c r="P110" s="298">
        <v>3.9509788445304235E-2</v>
      </c>
      <c r="Q110" s="298">
        <v>2.9542651780987427E-2</v>
      </c>
      <c r="R110" s="298">
        <v>2.8071591122090556E-2</v>
      </c>
      <c r="S110" s="298">
        <v>2.8071591122090556E-2</v>
      </c>
      <c r="T110" s="298">
        <v>2.8071591122090556E-2</v>
      </c>
      <c r="U110" s="298">
        <v>2.8071591122090556E-2</v>
      </c>
    </row>
    <row r="111" spans="1:21" ht="14.4" x14ac:dyDescent="0.3">
      <c r="A111" s="43">
        <v>49</v>
      </c>
      <c r="B111" s="43"/>
      <c r="C111" s="1"/>
      <c r="D111" s="298">
        <v>2.222090686942058</v>
      </c>
      <c r="E111" s="298">
        <v>0.8231320290067401</v>
      </c>
      <c r="F111" s="298">
        <v>0.54372728367538525</v>
      </c>
      <c r="G111" s="298">
        <v>0.33388586731319231</v>
      </c>
      <c r="H111" s="298">
        <v>0.20472977887589594</v>
      </c>
      <c r="I111" s="298">
        <v>0.16067909526322774</v>
      </c>
      <c r="J111" s="298">
        <v>0.19635848943192444</v>
      </c>
      <c r="K111" s="298">
        <v>0.18022284651166184</v>
      </c>
      <c r="L111" s="298">
        <v>0.15241194609444156</v>
      </c>
      <c r="M111" s="298">
        <v>0.14568078669873447</v>
      </c>
      <c r="N111" s="298">
        <v>0.14316623416465049</v>
      </c>
      <c r="O111" s="298">
        <v>0.11820986355275069</v>
      </c>
      <c r="P111" s="298">
        <v>0.11324661442841535</v>
      </c>
      <c r="Q111" s="298">
        <v>0.10591950094820782</v>
      </c>
      <c r="R111" s="298">
        <v>0.10181373046970461</v>
      </c>
      <c r="S111" s="298">
        <v>0.10181373046970461</v>
      </c>
      <c r="T111" s="298">
        <v>0.10181373046970461</v>
      </c>
      <c r="U111" s="298">
        <v>0.10181373046970461</v>
      </c>
    </row>
    <row r="112" spans="1:21" ht="14.4" x14ac:dyDescent="0.3">
      <c r="A112" s="43">
        <v>50</v>
      </c>
      <c r="B112" s="43"/>
      <c r="C112" s="1"/>
      <c r="D112" s="298">
        <v>0.15658261184107439</v>
      </c>
      <c r="E112" s="298">
        <v>6.9206297258360139E-2</v>
      </c>
      <c r="F112" s="298">
        <v>0.11719738000471913</v>
      </c>
      <c r="G112" s="298">
        <v>9.0950515996728487E-2</v>
      </c>
      <c r="H112" s="298">
        <v>5.6069430808107633E-2</v>
      </c>
      <c r="I112" s="298">
        <v>0.18457651004529252</v>
      </c>
      <c r="J112" s="298">
        <v>0.21861320828195963</v>
      </c>
      <c r="K112" s="298">
        <v>0.14805460867942424</v>
      </c>
      <c r="L112" s="298">
        <v>0.10865726471480185</v>
      </c>
      <c r="M112" s="298">
        <v>8.7921961526698345E-2</v>
      </c>
      <c r="N112" s="298">
        <v>5.8256465500538285E-2</v>
      </c>
      <c r="O112" s="298">
        <v>4.4253058727944716E-2</v>
      </c>
      <c r="P112" s="298">
        <v>3.9509788445304235E-2</v>
      </c>
      <c r="Q112" s="298">
        <v>2.9542651780987427E-2</v>
      </c>
      <c r="R112" s="298">
        <v>2.8071591122090556E-2</v>
      </c>
      <c r="S112" s="298">
        <v>2.8071591122090556E-2</v>
      </c>
      <c r="T112" s="298">
        <v>2.8071591122090556E-2</v>
      </c>
      <c r="U112" s="298">
        <v>2.8071591122090556E-2</v>
      </c>
    </row>
    <row r="113" spans="2:21" x14ac:dyDescent="0.25">
      <c r="D113" s="51"/>
    </row>
    <row r="114" spans="2:21" x14ac:dyDescent="0.25">
      <c r="B114" s="26" t="s">
        <v>5</v>
      </c>
      <c r="D114" s="32">
        <f t="shared" ref="D114:U114" si="7">SQRT(SUMSQ(D64:D112))</f>
        <v>163.93774717643851</v>
      </c>
      <c r="E114" s="32">
        <f t="shared" si="7"/>
        <v>113.48802501155089</v>
      </c>
      <c r="F114" s="32">
        <f t="shared" si="7"/>
        <v>92.201479834948017</v>
      </c>
      <c r="G114" s="32">
        <f t="shared" si="7"/>
        <v>70.914070764570482</v>
      </c>
      <c r="H114" s="32">
        <f t="shared" si="7"/>
        <v>54.750054571794223</v>
      </c>
      <c r="I114" s="32">
        <f t="shared" si="7"/>
        <v>45.409107972180678</v>
      </c>
      <c r="J114" s="32">
        <f t="shared" si="7"/>
        <v>40.452846599409661</v>
      </c>
      <c r="K114" s="32">
        <f t="shared" si="7"/>
        <v>36.567604373048553</v>
      </c>
      <c r="L114" s="32">
        <f t="shared" si="7"/>
        <v>33.722497172696237</v>
      </c>
      <c r="M114" s="32">
        <f t="shared" si="7"/>
        <v>31.537820676686238</v>
      </c>
      <c r="N114" s="32">
        <f t="shared" si="7"/>
        <v>28.353599859458789</v>
      </c>
      <c r="O114" s="32">
        <f t="shared" si="7"/>
        <v>26.003967172553079</v>
      </c>
      <c r="P114" s="32">
        <f t="shared" si="7"/>
        <v>24.160245237926446</v>
      </c>
      <c r="Q114" s="32">
        <f t="shared" si="7"/>
        <v>21.249690073067327</v>
      </c>
      <c r="R114" s="32">
        <f t="shared" si="7"/>
        <v>21.247242746791578</v>
      </c>
      <c r="S114" s="32">
        <f t="shared" si="7"/>
        <v>21.247242746791578</v>
      </c>
      <c r="T114" s="32">
        <f t="shared" si="7"/>
        <v>21.247242746791578</v>
      </c>
      <c r="U114" s="32">
        <f t="shared" si="7"/>
        <v>21.247242746791578</v>
      </c>
    </row>
    <row r="116" spans="2:21" x14ac:dyDescent="0.25">
      <c r="D116" s="32"/>
      <c r="E116" s="32"/>
      <c r="F116" s="32"/>
      <c r="G116" s="32"/>
      <c r="H116" s="32"/>
      <c r="I116" s="32"/>
    </row>
    <row r="118" spans="2:21" x14ac:dyDescent="0.25">
      <c r="D118" s="32"/>
      <c r="E118" s="32"/>
      <c r="F118" s="32"/>
      <c r="G118" s="32"/>
      <c r="H118" s="32"/>
      <c r="I118" s="32"/>
    </row>
  </sheetData>
  <pageMargins left="0.75" right="0.75" top="1" bottom="1" header="0.5" footer="0.5"/>
  <pageSetup scale="86" fitToWidth="2" fitToHeight="2" orientation="portrait" r:id="rId1"/>
  <headerFooter alignWithMargins="0">
    <oddHeader>&amp;R&amp;D
&amp;T
rh</oddHeader>
    <oddFooter>&amp;L&amp;F
&amp;A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U118"/>
  <sheetViews>
    <sheetView workbookViewId="0"/>
  </sheetViews>
  <sheetFormatPr defaultRowHeight="13.2" x14ac:dyDescent="0.25"/>
  <cols>
    <col min="1" max="6" width="9.109375" style="26"/>
    <col min="7" max="7" width="9.109375" style="26" customWidth="1"/>
    <col min="8" max="8" width="10.6640625" style="26" customWidth="1"/>
    <col min="9" max="262" width="9.109375" style="26"/>
    <col min="263" max="263" width="9.5546875" style="26" bestFit="1" customWidth="1"/>
    <col min="264" max="264" width="10.6640625" style="26" customWidth="1"/>
    <col min="265" max="518" width="9.109375" style="26"/>
    <col min="519" max="519" width="9.5546875" style="26" bestFit="1" customWidth="1"/>
    <col min="520" max="520" width="10.6640625" style="26" customWidth="1"/>
    <col min="521" max="774" width="9.109375" style="26"/>
    <col min="775" max="775" width="9.5546875" style="26" bestFit="1" customWidth="1"/>
    <col min="776" max="776" width="10.6640625" style="26" customWidth="1"/>
    <col min="777" max="1030" width="9.109375" style="26"/>
    <col min="1031" max="1031" width="9.5546875" style="26" bestFit="1" customWidth="1"/>
    <col min="1032" max="1032" width="10.6640625" style="26" customWidth="1"/>
    <col min="1033" max="1286" width="9.109375" style="26"/>
    <col min="1287" max="1287" width="9.5546875" style="26" bestFit="1" customWidth="1"/>
    <col min="1288" max="1288" width="10.6640625" style="26" customWidth="1"/>
    <col min="1289" max="1542" width="9.109375" style="26"/>
    <col min="1543" max="1543" width="9.5546875" style="26" bestFit="1" customWidth="1"/>
    <col min="1544" max="1544" width="10.6640625" style="26" customWidth="1"/>
    <col min="1545" max="1798" width="9.109375" style="26"/>
    <col min="1799" max="1799" width="9.5546875" style="26" bestFit="1" customWidth="1"/>
    <col min="1800" max="1800" width="10.6640625" style="26" customWidth="1"/>
    <col min="1801" max="2054" width="9.109375" style="26"/>
    <col min="2055" max="2055" width="9.5546875" style="26" bestFit="1" customWidth="1"/>
    <col min="2056" max="2056" width="10.6640625" style="26" customWidth="1"/>
    <col min="2057" max="2310" width="9.109375" style="26"/>
    <col min="2311" max="2311" width="9.5546875" style="26" bestFit="1" customWidth="1"/>
    <col min="2312" max="2312" width="10.6640625" style="26" customWidth="1"/>
    <col min="2313" max="2566" width="9.109375" style="26"/>
    <col min="2567" max="2567" width="9.5546875" style="26" bestFit="1" customWidth="1"/>
    <col min="2568" max="2568" width="10.6640625" style="26" customWidth="1"/>
    <col min="2569" max="2822" width="9.109375" style="26"/>
    <col min="2823" max="2823" width="9.5546875" style="26" bestFit="1" customWidth="1"/>
    <col min="2824" max="2824" width="10.6640625" style="26" customWidth="1"/>
    <col min="2825" max="3078" width="9.109375" style="26"/>
    <col min="3079" max="3079" width="9.5546875" style="26" bestFit="1" customWidth="1"/>
    <col min="3080" max="3080" width="10.6640625" style="26" customWidth="1"/>
    <col min="3081" max="3334" width="9.109375" style="26"/>
    <col min="3335" max="3335" width="9.5546875" style="26" bestFit="1" customWidth="1"/>
    <col min="3336" max="3336" width="10.6640625" style="26" customWidth="1"/>
    <col min="3337" max="3590" width="9.109375" style="26"/>
    <col min="3591" max="3591" width="9.5546875" style="26" bestFit="1" customWidth="1"/>
    <col min="3592" max="3592" width="10.6640625" style="26" customWidth="1"/>
    <col min="3593" max="3846" width="9.109375" style="26"/>
    <col min="3847" max="3847" width="9.5546875" style="26" bestFit="1" customWidth="1"/>
    <col min="3848" max="3848" width="10.6640625" style="26" customWidth="1"/>
    <col min="3849" max="4102" width="9.109375" style="26"/>
    <col min="4103" max="4103" width="9.5546875" style="26" bestFit="1" customWidth="1"/>
    <col min="4104" max="4104" width="10.6640625" style="26" customWidth="1"/>
    <col min="4105" max="4358" width="9.109375" style="26"/>
    <col min="4359" max="4359" width="9.5546875" style="26" bestFit="1" customWidth="1"/>
    <col min="4360" max="4360" width="10.6640625" style="26" customWidth="1"/>
    <col min="4361" max="4614" width="9.109375" style="26"/>
    <col min="4615" max="4615" width="9.5546875" style="26" bestFit="1" customWidth="1"/>
    <col min="4616" max="4616" width="10.6640625" style="26" customWidth="1"/>
    <col min="4617" max="4870" width="9.109375" style="26"/>
    <col min="4871" max="4871" width="9.5546875" style="26" bestFit="1" customWidth="1"/>
    <col min="4872" max="4872" width="10.6640625" style="26" customWidth="1"/>
    <col min="4873" max="5126" width="9.109375" style="26"/>
    <col min="5127" max="5127" width="9.5546875" style="26" bestFit="1" customWidth="1"/>
    <col min="5128" max="5128" width="10.6640625" style="26" customWidth="1"/>
    <col min="5129" max="5382" width="9.109375" style="26"/>
    <col min="5383" max="5383" width="9.5546875" style="26" bestFit="1" customWidth="1"/>
    <col min="5384" max="5384" width="10.6640625" style="26" customWidth="1"/>
    <col min="5385" max="5638" width="9.109375" style="26"/>
    <col min="5639" max="5639" width="9.5546875" style="26" bestFit="1" customWidth="1"/>
    <col min="5640" max="5640" width="10.6640625" style="26" customWidth="1"/>
    <col min="5641" max="5894" width="9.109375" style="26"/>
    <col min="5895" max="5895" width="9.5546875" style="26" bestFit="1" customWidth="1"/>
    <col min="5896" max="5896" width="10.6640625" style="26" customWidth="1"/>
    <col min="5897" max="6150" width="9.109375" style="26"/>
    <col min="6151" max="6151" width="9.5546875" style="26" bestFit="1" customWidth="1"/>
    <col min="6152" max="6152" width="10.6640625" style="26" customWidth="1"/>
    <col min="6153" max="6406" width="9.109375" style="26"/>
    <col min="6407" max="6407" width="9.5546875" style="26" bestFit="1" customWidth="1"/>
    <col min="6408" max="6408" width="10.6640625" style="26" customWidth="1"/>
    <col min="6409" max="6662" width="9.109375" style="26"/>
    <col min="6663" max="6663" width="9.5546875" style="26" bestFit="1" customWidth="1"/>
    <col min="6664" max="6664" width="10.6640625" style="26" customWidth="1"/>
    <col min="6665" max="6918" width="9.109375" style="26"/>
    <col min="6919" max="6919" width="9.5546875" style="26" bestFit="1" customWidth="1"/>
    <col min="6920" max="6920" width="10.6640625" style="26" customWidth="1"/>
    <col min="6921" max="7174" width="9.109375" style="26"/>
    <col min="7175" max="7175" width="9.5546875" style="26" bestFit="1" customWidth="1"/>
    <col min="7176" max="7176" width="10.6640625" style="26" customWidth="1"/>
    <col min="7177" max="7430" width="9.109375" style="26"/>
    <col min="7431" max="7431" width="9.5546875" style="26" bestFit="1" customWidth="1"/>
    <col min="7432" max="7432" width="10.6640625" style="26" customWidth="1"/>
    <col min="7433" max="7686" width="9.109375" style="26"/>
    <col min="7687" max="7687" width="9.5546875" style="26" bestFit="1" customWidth="1"/>
    <col min="7688" max="7688" width="10.6640625" style="26" customWidth="1"/>
    <col min="7689" max="7942" width="9.109375" style="26"/>
    <col min="7943" max="7943" width="9.5546875" style="26" bestFit="1" customWidth="1"/>
    <col min="7944" max="7944" width="10.6640625" style="26" customWidth="1"/>
    <col min="7945" max="8198" width="9.109375" style="26"/>
    <col min="8199" max="8199" width="9.5546875" style="26" bestFit="1" customWidth="1"/>
    <col min="8200" max="8200" width="10.6640625" style="26" customWidth="1"/>
    <col min="8201" max="8454" width="9.109375" style="26"/>
    <col min="8455" max="8455" width="9.5546875" style="26" bestFit="1" customWidth="1"/>
    <col min="8456" max="8456" width="10.6640625" style="26" customWidth="1"/>
    <col min="8457" max="8710" width="9.109375" style="26"/>
    <col min="8711" max="8711" width="9.5546875" style="26" bestFit="1" customWidth="1"/>
    <col min="8712" max="8712" width="10.6640625" style="26" customWidth="1"/>
    <col min="8713" max="8966" width="9.109375" style="26"/>
    <col min="8967" max="8967" width="9.5546875" style="26" bestFit="1" customWidth="1"/>
    <col min="8968" max="8968" width="10.6640625" style="26" customWidth="1"/>
    <col min="8969" max="9222" width="9.109375" style="26"/>
    <col min="9223" max="9223" width="9.5546875" style="26" bestFit="1" customWidth="1"/>
    <col min="9224" max="9224" width="10.6640625" style="26" customWidth="1"/>
    <col min="9225" max="9478" width="9.109375" style="26"/>
    <col min="9479" max="9479" width="9.5546875" style="26" bestFit="1" customWidth="1"/>
    <col min="9480" max="9480" width="10.6640625" style="26" customWidth="1"/>
    <col min="9481" max="9734" width="9.109375" style="26"/>
    <col min="9735" max="9735" width="9.5546875" style="26" bestFit="1" customWidth="1"/>
    <col min="9736" max="9736" width="10.6640625" style="26" customWidth="1"/>
    <col min="9737" max="9990" width="9.109375" style="26"/>
    <col min="9991" max="9991" width="9.5546875" style="26" bestFit="1" customWidth="1"/>
    <col min="9992" max="9992" width="10.6640625" style="26" customWidth="1"/>
    <col min="9993" max="10246" width="9.109375" style="26"/>
    <col min="10247" max="10247" width="9.5546875" style="26" bestFit="1" customWidth="1"/>
    <col min="10248" max="10248" width="10.6640625" style="26" customWidth="1"/>
    <col min="10249" max="10502" width="9.109375" style="26"/>
    <col min="10503" max="10503" width="9.5546875" style="26" bestFit="1" customWidth="1"/>
    <col min="10504" max="10504" width="10.6640625" style="26" customWidth="1"/>
    <col min="10505" max="10758" width="9.109375" style="26"/>
    <col min="10759" max="10759" width="9.5546875" style="26" bestFit="1" customWidth="1"/>
    <col min="10760" max="10760" width="10.6640625" style="26" customWidth="1"/>
    <col min="10761" max="11014" width="9.109375" style="26"/>
    <col min="11015" max="11015" width="9.5546875" style="26" bestFit="1" customWidth="1"/>
    <col min="11016" max="11016" width="10.6640625" style="26" customWidth="1"/>
    <col min="11017" max="11270" width="9.109375" style="26"/>
    <col min="11271" max="11271" width="9.5546875" style="26" bestFit="1" customWidth="1"/>
    <col min="11272" max="11272" width="10.6640625" style="26" customWidth="1"/>
    <col min="11273" max="11526" width="9.109375" style="26"/>
    <col min="11527" max="11527" width="9.5546875" style="26" bestFit="1" customWidth="1"/>
    <col min="11528" max="11528" width="10.6640625" style="26" customWidth="1"/>
    <col min="11529" max="11782" width="9.109375" style="26"/>
    <col min="11783" max="11783" width="9.5546875" style="26" bestFit="1" customWidth="1"/>
    <col min="11784" max="11784" width="10.6640625" style="26" customWidth="1"/>
    <col min="11785" max="12038" width="9.109375" style="26"/>
    <col min="12039" max="12039" width="9.5546875" style="26" bestFit="1" customWidth="1"/>
    <col min="12040" max="12040" width="10.6640625" style="26" customWidth="1"/>
    <col min="12041" max="12294" width="9.109375" style="26"/>
    <col min="12295" max="12295" width="9.5546875" style="26" bestFit="1" customWidth="1"/>
    <col min="12296" max="12296" width="10.6640625" style="26" customWidth="1"/>
    <col min="12297" max="12550" width="9.109375" style="26"/>
    <col min="12551" max="12551" width="9.5546875" style="26" bestFit="1" customWidth="1"/>
    <col min="12552" max="12552" width="10.6640625" style="26" customWidth="1"/>
    <col min="12553" max="12806" width="9.109375" style="26"/>
    <col min="12807" max="12807" width="9.5546875" style="26" bestFit="1" customWidth="1"/>
    <col min="12808" max="12808" width="10.6640625" style="26" customWidth="1"/>
    <col min="12809" max="13062" width="9.109375" style="26"/>
    <col min="13063" max="13063" width="9.5546875" style="26" bestFit="1" customWidth="1"/>
    <col min="13064" max="13064" width="10.6640625" style="26" customWidth="1"/>
    <col min="13065" max="13318" width="9.109375" style="26"/>
    <col min="13319" max="13319" width="9.5546875" style="26" bestFit="1" customWidth="1"/>
    <col min="13320" max="13320" width="10.6640625" style="26" customWidth="1"/>
    <col min="13321" max="13574" width="9.109375" style="26"/>
    <col min="13575" max="13575" width="9.5546875" style="26" bestFit="1" customWidth="1"/>
    <col min="13576" max="13576" width="10.6640625" style="26" customWidth="1"/>
    <col min="13577" max="13830" width="9.109375" style="26"/>
    <col min="13831" max="13831" width="9.5546875" style="26" bestFit="1" customWidth="1"/>
    <col min="13832" max="13832" width="10.6640625" style="26" customWidth="1"/>
    <col min="13833" max="14086" width="9.109375" style="26"/>
    <col min="14087" max="14087" width="9.5546875" style="26" bestFit="1" customWidth="1"/>
    <col min="14088" max="14088" width="10.6640625" style="26" customWidth="1"/>
    <col min="14089" max="14342" width="9.109375" style="26"/>
    <col min="14343" max="14343" width="9.5546875" style="26" bestFit="1" customWidth="1"/>
    <col min="14344" max="14344" width="10.6640625" style="26" customWidth="1"/>
    <col min="14345" max="14598" width="9.109375" style="26"/>
    <col min="14599" max="14599" width="9.5546875" style="26" bestFit="1" customWidth="1"/>
    <col min="14600" max="14600" width="10.6640625" style="26" customWidth="1"/>
    <col min="14601" max="14854" width="9.109375" style="26"/>
    <col min="14855" max="14855" width="9.5546875" style="26" bestFit="1" customWidth="1"/>
    <col min="14856" max="14856" width="10.6640625" style="26" customWidth="1"/>
    <col min="14857" max="15110" width="9.109375" style="26"/>
    <col min="15111" max="15111" width="9.5546875" style="26" bestFit="1" customWidth="1"/>
    <col min="15112" max="15112" width="10.6640625" style="26" customWidth="1"/>
    <col min="15113" max="15366" width="9.109375" style="26"/>
    <col min="15367" max="15367" width="9.5546875" style="26" bestFit="1" customWidth="1"/>
    <col min="15368" max="15368" width="10.6640625" style="26" customWidth="1"/>
    <col min="15369" max="15622" width="9.109375" style="26"/>
    <col min="15623" max="15623" width="9.5546875" style="26" bestFit="1" customWidth="1"/>
    <col min="15624" max="15624" width="10.6640625" style="26" customWidth="1"/>
    <col min="15625" max="15878" width="9.109375" style="26"/>
    <col min="15879" max="15879" width="9.5546875" style="26" bestFit="1" customWidth="1"/>
    <col min="15880" max="15880" width="10.6640625" style="26" customWidth="1"/>
    <col min="15881" max="16134" width="9.109375" style="26"/>
    <col min="16135" max="16135" width="9.5546875" style="26" bestFit="1" customWidth="1"/>
    <col min="16136" max="16136" width="10.6640625" style="26" customWidth="1"/>
    <col min="16137" max="16384" width="9.109375" style="26"/>
  </cols>
  <sheetData>
    <row r="1" spans="1:15" ht="13.8" thickBot="1" x14ac:dyDescent="0.3">
      <c r="A1" s="84" t="s">
        <v>293</v>
      </c>
      <c r="B1" s="275" t="s">
        <v>402</v>
      </c>
      <c r="C1" s="33">
        <f>Drives!BA36</f>
        <v>38490.017945975058</v>
      </c>
      <c r="D1" s="28" t="s">
        <v>7</v>
      </c>
      <c r="E1" s="300">
        <v>15</v>
      </c>
      <c r="F1" s="301">
        <f>MAX(0.1,E1+100/C1)</f>
        <v>15.002598076211353</v>
      </c>
      <c r="G1" s="36" t="s">
        <v>1</v>
      </c>
      <c r="H1" s="29">
        <f>IF(J1=0,0,H4/J1)</f>
        <v>0</v>
      </c>
      <c r="I1" s="54" t="s">
        <v>94</v>
      </c>
      <c r="J1" s="34">
        <f>Drives!Z36</f>
        <v>0</v>
      </c>
      <c r="K1" s="26" t="s">
        <v>84</v>
      </c>
      <c r="N1" s="254">
        <v>0.94499999999999995</v>
      </c>
      <c r="O1" s="26" t="s">
        <v>176</v>
      </c>
    </row>
    <row r="2" spans="1:15" x14ac:dyDescent="0.25">
      <c r="A2" s="269" t="s">
        <v>88</v>
      </c>
      <c r="B2" s="276">
        <v>36</v>
      </c>
      <c r="D2" s="26">
        <f>C4+1</f>
        <v>13</v>
      </c>
      <c r="E2" s="41">
        <f>F1-C3</f>
        <v>1.0025980762113527</v>
      </c>
      <c r="F2" s="36"/>
      <c r="G2" s="36"/>
      <c r="J2" s="29">
        <f>IF(J1&gt;=0.6, 0.7+(J1-0.6)*0.75, IF(J1&gt;=0.2, 0.3+(J1-0.2)*1, J1*1.5))</f>
        <v>0</v>
      </c>
      <c r="K2" s="26" t="s">
        <v>60</v>
      </c>
    </row>
    <row r="3" spans="1:15" ht="13.8" thickBot="1" x14ac:dyDescent="0.3">
      <c r="A3" s="270" t="s">
        <v>91</v>
      </c>
      <c r="C3" s="41">
        <f>HLOOKUP($F$1,$D$62:$U$113,(B3+1))</f>
        <v>14</v>
      </c>
      <c r="D3" s="41">
        <f>HLOOKUP($D$2,$D$61:$U$113,(B3+2))</f>
        <v>18</v>
      </c>
      <c r="E3" s="26">
        <f>D3-C3</f>
        <v>4</v>
      </c>
      <c r="F3" s="26">
        <f>IF(E3=0,1,E2/E3)</f>
        <v>0.25064951905283817</v>
      </c>
      <c r="G3" s="32">
        <f>C3+(E3*F3)</f>
        <v>15.002598076211353</v>
      </c>
      <c r="J3" s="31"/>
    </row>
    <row r="4" spans="1:15" ht="13.8" thickBot="1" x14ac:dyDescent="0.3">
      <c r="A4" s="31" t="s">
        <v>90</v>
      </c>
      <c r="B4" s="26">
        <v>1</v>
      </c>
      <c r="C4" s="302">
        <f t="shared" ref="C4:C53" si="0">HLOOKUP($F$1,$D$62:$U$113,(B4+1))</f>
        <v>12</v>
      </c>
      <c r="D4" s="302">
        <f t="shared" ref="D4:D53" si="1">HLOOKUP($D$2,$D$61:$U$113,(B4+2))</f>
        <v>13</v>
      </c>
      <c r="G4" s="27">
        <v>100</v>
      </c>
      <c r="H4" s="34">
        <f>Drives!AR36</f>
        <v>0</v>
      </c>
      <c r="I4" s="26" t="s">
        <v>53</v>
      </c>
    </row>
    <row r="5" spans="1:15" x14ac:dyDescent="0.25">
      <c r="A5" s="31"/>
      <c r="B5" s="26">
        <v>2</v>
      </c>
      <c r="C5" s="52">
        <f t="shared" si="0"/>
        <v>1.783236037225493E-2</v>
      </c>
      <c r="D5" s="52">
        <f t="shared" si="1"/>
        <v>6.5715038062707058E-3</v>
      </c>
      <c r="E5" s="48">
        <f t="shared" ref="E5:E53" si="2">D5-C5</f>
        <v>-1.1260856565984224E-2</v>
      </c>
      <c r="F5" s="48">
        <f t="shared" ref="F5:F53" si="3">E5*$F$3</f>
        <v>-2.8225282823869406E-3</v>
      </c>
      <c r="G5" s="48">
        <f t="shared" ref="G5:G53" si="4">C5+F5</f>
        <v>1.5009832089867989E-2</v>
      </c>
      <c r="H5" s="30">
        <f>J$2*G5*$H$1/100</f>
        <v>0</v>
      </c>
    </row>
    <row r="6" spans="1:15" x14ac:dyDescent="0.25">
      <c r="A6" s="270" t="s">
        <v>408</v>
      </c>
      <c r="B6" s="26">
        <v>3</v>
      </c>
      <c r="C6" s="52">
        <f t="shared" si="0"/>
        <v>1.2479844012146544</v>
      </c>
      <c r="D6" s="52">
        <f t="shared" si="1"/>
        <v>0.90186138282906037</v>
      </c>
      <c r="E6" s="48">
        <f t="shared" si="2"/>
        <v>-0.34612301838559401</v>
      </c>
      <c r="F6" s="48">
        <f t="shared" si="3"/>
        <v>-8.6755568091465798E-2</v>
      </c>
      <c r="G6" s="48">
        <f t="shared" si="4"/>
        <v>1.1612288331231886</v>
      </c>
      <c r="H6" s="30">
        <f t="shared" ref="H6:H53" si="5">J$2*G6*$H$1/100</f>
        <v>0</v>
      </c>
    </row>
    <row r="7" spans="1:15" x14ac:dyDescent="0.25">
      <c r="A7" s="270" t="s">
        <v>92</v>
      </c>
      <c r="B7" s="26">
        <v>4</v>
      </c>
      <c r="C7" s="52">
        <f t="shared" si="0"/>
        <v>1.8380050856337499E-2</v>
      </c>
      <c r="D7" s="52">
        <f t="shared" si="1"/>
        <v>5.7240454854559945E-3</v>
      </c>
      <c r="E7" s="48">
        <f t="shared" si="2"/>
        <v>-1.2656005370881504E-2</v>
      </c>
      <c r="F7" s="48">
        <f t="shared" si="3"/>
        <v>-3.1722216593415855E-3</v>
      </c>
      <c r="G7" s="48">
        <f t="shared" si="4"/>
        <v>1.5207829196995913E-2</v>
      </c>
      <c r="H7" s="30">
        <f t="shared" si="5"/>
        <v>0</v>
      </c>
    </row>
    <row r="8" spans="1:15" x14ac:dyDescent="0.25">
      <c r="A8" s="50"/>
      <c r="B8" s="26">
        <v>5</v>
      </c>
      <c r="C8" s="52">
        <f t="shared" si="0"/>
        <v>22.666145948519805</v>
      </c>
      <c r="D8" s="52">
        <f t="shared" si="1"/>
        <v>19.683481307529799</v>
      </c>
      <c r="E8" s="48">
        <f t="shared" si="2"/>
        <v>-2.9826646409900057</v>
      </c>
      <c r="F8" s="48">
        <f t="shared" si="3"/>
        <v>-0.7476034577600511</v>
      </c>
      <c r="G8" s="48">
        <f t="shared" si="4"/>
        <v>21.918542490759755</v>
      </c>
      <c r="H8" s="30">
        <f t="shared" si="5"/>
        <v>0</v>
      </c>
    </row>
    <row r="9" spans="1:15" x14ac:dyDescent="0.25">
      <c r="A9" s="50"/>
      <c r="B9" s="26">
        <v>6</v>
      </c>
      <c r="C9" s="52">
        <f t="shared" si="0"/>
        <v>9.2816222816082712E-3</v>
      </c>
      <c r="D9" s="52">
        <f t="shared" si="1"/>
        <v>3.8021989595571734E-3</v>
      </c>
      <c r="E9" s="48">
        <f t="shared" si="2"/>
        <v>-5.4794233220510982E-3</v>
      </c>
      <c r="F9" s="48">
        <f t="shared" si="3"/>
        <v>-1.3734148203590126E-3</v>
      </c>
      <c r="G9" s="48">
        <f t="shared" si="4"/>
        <v>7.908207461249258E-3</v>
      </c>
      <c r="H9" s="30">
        <f t="shared" si="5"/>
        <v>0</v>
      </c>
    </row>
    <row r="10" spans="1:15" x14ac:dyDescent="0.25">
      <c r="B10" s="26">
        <v>7</v>
      </c>
      <c r="C10" s="52">
        <f t="shared" si="0"/>
        <v>6.8022403042729351</v>
      </c>
      <c r="D10" s="52">
        <f t="shared" si="1"/>
        <v>6.987229811341364</v>
      </c>
      <c r="E10" s="48">
        <f t="shared" si="2"/>
        <v>0.18498950706842887</v>
      </c>
      <c r="F10" s="48">
        <f t="shared" si="3"/>
        <v>4.6367530976523304E-2</v>
      </c>
      <c r="G10" s="48">
        <f t="shared" si="4"/>
        <v>6.8486078352494584</v>
      </c>
      <c r="H10" s="30">
        <f t="shared" si="5"/>
        <v>0</v>
      </c>
    </row>
    <row r="11" spans="1:15" x14ac:dyDescent="0.25">
      <c r="B11" s="26">
        <v>8</v>
      </c>
      <c r="C11" s="52">
        <f t="shared" si="0"/>
        <v>6.4595461603830819E-3</v>
      </c>
      <c r="D11" s="52">
        <f t="shared" si="1"/>
        <v>1.3983813924981661E-3</v>
      </c>
      <c r="E11" s="48">
        <f t="shared" si="2"/>
        <v>-5.0611647678849153E-3</v>
      </c>
      <c r="F11" s="48">
        <f t="shared" si="3"/>
        <v>-1.2685785149175234E-3</v>
      </c>
      <c r="G11" s="48">
        <f t="shared" si="4"/>
        <v>5.1909676454655589E-3</v>
      </c>
      <c r="H11" s="30">
        <f t="shared" si="5"/>
        <v>0</v>
      </c>
    </row>
    <row r="12" spans="1:15" x14ac:dyDescent="0.25">
      <c r="B12" s="26">
        <v>9</v>
      </c>
      <c r="C12" s="52">
        <f t="shared" si="0"/>
        <v>0.1789795622711387</v>
      </c>
      <c r="D12" s="52">
        <f t="shared" si="1"/>
        <v>0.13966052871548112</v>
      </c>
      <c r="E12" s="48">
        <f t="shared" si="2"/>
        <v>-3.9319033555657579E-2</v>
      </c>
      <c r="F12" s="48">
        <f t="shared" si="3"/>
        <v>-9.8552968503479773E-3</v>
      </c>
      <c r="G12" s="48">
        <f t="shared" si="4"/>
        <v>0.16912426542079073</v>
      </c>
      <c r="H12" s="30">
        <f t="shared" si="5"/>
        <v>0</v>
      </c>
    </row>
    <row r="13" spans="1:15" x14ac:dyDescent="0.25">
      <c r="B13" s="26">
        <v>10</v>
      </c>
      <c r="C13" s="52">
        <f t="shared" si="0"/>
        <v>3.0933034144878684E-3</v>
      </c>
      <c r="D13" s="52">
        <f t="shared" si="1"/>
        <v>1.7024651539385351E-3</v>
      </c>
      <c r="E13" s="48">
        <f t="shared" si="2"/>
        <v>-1.3908382605493333E-3</v>
      </c>
      <c r="F13" s="48">
        <f t="shared" si="3"/>
        <v>-3.486129410869764E-4</v>
      </c>
      <c r="G13" s="48">
        <f t="shared" si="4"/>
        <v>2.744690473400892E-3</v>
      </c>
      <c r="H13" s="30">
        <f t="shared" si="5"/>
        <v>0</v>
      </c>
    </row>
    <row r="14" spans="1:15" x14ac:dyDescent="0.25">
      <c r="B14" s="26">
        <v>11</v>
      </c>
      <c r="C14" s="52">
        <f t="shared" si="0"/>
        <v>3.4442053406397228</v>
      </c>
      <c r="D14" s="52">
        <f t="shared" si="1"/>
        <v>2.6571079286057731</v>
      </c>
      <c r="E14" s="48">
        <f t="shared" si="2"/>
        <v>-0.78709741203394978</v>
      </c>
      <c r="F14" s="48">
        <f t="shared" si="3"/>
        <v>-0.19728558777404312</v>
      </c>
      <c r="G14" s="48">
        <f t="shared" si="4"/>
        <v>3.2469197528656797</v>
      </c>
      <c r="H14" s="30">
        <f t="shared" si="5"/>
        <v>0</v>
      </c>
    </row>
    <row r="15" spans="1:15" x14ac:dyDescent="0.25">
      <c r="B15" s="26">
        <v>12</v>
      </c>
      <c r="C15" s="52">
        <f t="shared" si="0"/>
        <v>3.2866827675993235E-3</v>
      </c>
      <c r="D15" s="52">
        <f t="shared" si="1"/>
        <v>2.129932191298423E-3</v>
      </c>
      <c r="E15" s="48">
        <f t="shared" si="2"/>
        <v>-1.1567505763009005E-3</v>
      </c>
      <c r="F15" s="48">
        <f t="shared" si="3"/>
        <v>-2.8993897561391409E-4</v>
      </c>
      <c r="G15" s="48">
        <f t="shared" si="4"/>
        <v>2.9967437919854092E-3</v>
      </c>
      <c r="H15" s="30">
        <f t="shared" si="5"/>
        <v>0</v>
      </c>
    </row>
    <row r="16" spans="1:15" x14ac:dyDescent="0.25">
      <c r="B16" s="26">
        <v>13</v>
      </c>
      <c r="C16" s="52">
        <f t="shared" si="0"/>
        <v>2.4129113867682368</v>
      </c>
      <c r="D16" s="52">
        <f t="shared" si="1"/>
        <v>1.9019132140355048</v>
      </c>
      <c r="E16" s="48">
        <f t="shared" si="2"/>
        <v>-0.51099817273273196</v>
      </c>
      <c r="F16" s="48">
        <f t="shared" si="3"/>
        <v>-0.12808144623233839</v>
      </c>
      <c r="G16" s="48">
        <f t="shared" si="4"/>
        <v>2.2848299405358983</v>
      </c>
      <c r="H16" s="30">
        <f t="shared" si="5"/>
        <v>0</v>
      </c>
    </row>
    <row r="17" spans="2:8" x14ac:dyDescent="0.25">
      <c r="B17" s="26">
        <v>14</v>
      </c>
      <c r="C17" s="52">
        <f t="shared" si="0"/>
        <v>4.5856434142929501E-3</v>
      </c>
      <c r="D17" s="52">
        <f t="shared" si="1"/>
        <v>2.3769049086772155E-3</v>
      </c>
      <c r="E17" s="48">
        <f t="shared" si="2"/>
        <v>-2.2087385056157346E-3</v>
      </c>
      <c r="F17" s="48">
        <f t="shared" si="3"/>
        <v>-5.5361924414606837E-4</v>
      </c>
      <c r="G17" s="48">
        <f t="shared" si="4"/>
        <v>4.0320241701468813E-3</v>
      </c>
      <c r="H17" s="30">
        <f t="shared" si="5"/>
        <v>0</v>
      </c>
    </row>
    <row r="18" spans="2:8" x14ac:dyDescent="0.25">
      <c r="B18" s="26">
        <v>15</v>
      </c>
      <c r="C18" s="52">
        <f t="shared" si="0"/>
        <v>0.13879587874692803</v>
      </c>
      <c r="D18" s="52">
        <f t="shared" si="1"/>
        <v>0.10849930149243135</v>
      </c>
      <c r="E18" s="48">
        <f t="shared" si="2"/>
        <v>-3.0296577254496679E-2</v>
      </c>
      <c r="F18" s="48">
        <f t="shared" si="3"/>
        <v>-7.5938225177867484E-3</v>
      </c>
      <c r="G18" s="48">
        <f t="shared" si="4"/>
        <v>0.13120205622914127</v>
      </c>
      <c r="H18" s="30">
        <f t="shared" si="5"/>
        <v>0</v>
      </c>
    </row>
    <row r="19" spans="2:8" x14ac:dyDescent="0.25">
      <c r="B19" s="26">
        <v>16</v>
      </c>
      <c r="C19" s="52">
        <f t="shared" si="0"/>
        <v>3.8905467511792919E-3</v>
      </c>
      <c r="D19" s="52">
        <f t="shared" si="1"/>
        <v>3.1270051788819786E-3</v>
      </c>
      <c r="E19" s="48">
        <f t="shared" si="2"/>
        <v>-7.6354157229731323E-4</v>
      </c>
      <c r="F19" s="48">
        <f t="shared" si="3"/>
        <v>-1.9138132787316941E-4</v>
      </c>
      <c r="G19" s="48">
        <f t="shared" si="4"/>
        <v>3.6991654233061223E-3</v>
      </c>
      <c r="H19" s="30">
        <f t="shared" si="5"/>
        <v>0</v>
      </c>
    </row>
    <row r="20" spans="2:8" x14ac:dyDescent="0.25">
      <c r="B20" s="26">
        <v>17</v>
      </c>
      <c r="C20" s="52">
        <f t="shared" si="0"/>
        <v>1.4117622874341469</v>
      </c>
      <c r="D20" s="52">
        <f t="shared" si="1"/>
        <v>1.3485789449567889</v>
      </c>
      <c r="E20" s="48">
        <f t="shared" si="2"/>
        <v>-6.3183342477358018E-2</v>
      </c>
      <c r="F20" s="48">
        <f t="shared" si="3"/>
        <v>-1.5836874404100549E-2</v>
      </c>
      <c r="G20" s="48">
        <f t="shared" si="4"/>
        <v>1.3959254130300462</v>
      </c>
      <c r="H20" s="30">
        <f t="shared" si="5"/>
        <v>0</v>
      </c>
    </row>
    <row r="21" spans="2:8" x14ac:dyDescent="0.25">
      <c r="B21" s="26">
        <v>18</v>
      </c>
      <c r="C21" s="52">
        <f t="shared" si="0"/>
        <v>1.6747979107749516E-3</v>
      </c>
      <c r="D21" s="52">
        <f t="shared" si="1"/>
        <v>1.0243399597807483E-3</v>
      </c>
      <c r="E21" s="48">
        <f t="shared" si="2"/>
        <v>-6.5045795099420321E-4</v>
      </c>
      <c r="F21" s="48">
        <f t="shared" si="3"/>
        <v>-1.6303697258079162E-4</v>
      </c>
      <c r="G21" s="48">
        <f t="shared" si="4"/>
        <v>1.51176093819416E-3</v>
      </c>
      <c r="H21" s="30">
        <f t="shared" si="5"/>
        <v>0</v>
      </c>
    </row>
    <row r="22" spans="2:8" x14ac:dyDescent="0.25">
      <c r="B22" s="26">
        <v>19</v>
      </c>
      <c r="C22" s="52">
        <f t="shared" si="0"/>
        <v>0.86230538911097832</v>
      </c>
      <c r="D22" s="52">
        <f t="shared" si="1"/>
        <v>0.87143134542122158</v>
      </c>
      <c r="E22" s="48">
        <f t="shared" si="2"/>
        <v>9.1259563102432661E-3</v>
      </c>
      <c r="F22" s="48">
        <f t="shared" si="3"/>
        <v>2.2874165600596883E-3</v>
      </c>
      <c r="G22" s="48">
        <f t="shared" si="4"/>
        <v>0.86459280567103802</v>
      </c>
      <c r="H22" s="30">
        <f t="shared" si="5"/>
        <v>0</v>
      </c>
    </row>
    <row r="23" spans="2:8" x14ac:dyDescent="0.25">
      <c r="B23" s="26">
        <v>20</v>
      </c>
      <c r="C23" s="52">
        <f t="shared" si="0"/>
        <v>2.0372139828744758E-3</v>
      </c>
      <c r="D23" s="52">
        <f t="shared" si="1"/>
        <v>2.6099379219788315E-3</v>
      </c>
      <c r="E23" s="48">
        <f t="shared" si="2"/>
        <v>5.7272393910435572E-4</v>
      </c>
      <c r="F23" s="48">
        <f t="shared" si="3"/>
        <v>1.4355297988655373E-4</v>
      </c>
      <c r="G23" s="48">
        <f t="shared" si="4"/>
        <v>2.1807669627610295E-3</v>
      </c>
      <c r="H23" s="30">
        <f t="shared" si="5"/>
        <v>0</v>
      </c>
    </row>
    <row r="24" spans="2:8" x14ac:dyDescent="0.25">
      <c r="B24" s="26">
        <v>21</v>
      </c>
      <c r="C24" s="52">
        <f t="shared" si="0"/>
        <v>8.69095877563483E-2</v>
      </c>
      <c r="D24" s="52">
        <f t="shared" si="1"/>
        <v>6.469840401868561E-2</v>
      </c>
      <c r="E24" s="48">
        <f t="shared" si="2"/>
        <v>-2.221118373766269E-2</v>
      </c>
      <c r="F24" s="48">
        <f t="shared" si="3"/>
        <v>-5.5672225214393736E-3</v>
      </c>
      <c r="G24" s="48">
        <f t="shared" si="4"/>
        <v>8.1342365234908925E-2</v>
      </c>
      <c r="H24" s="30">
        <f t="shared" si="5"/>
        <v>0</v>
      </c>
    </row>
    <row r="25" spans="2:8" x14ac:dyDescent="0.25">
      <c r="B25" s="26">
        <v>22</v>
      </c>
      <c r="C25" s="52">
        <f t="shared" si="0"/>
        <v>2.2687748359132434E-3</v>
      </c>
      <c r="D25" s="52">
        <f t="shared" si="1"/>
        <v>3.2956893394252857E-3</v>
      </c>
      <c r="E25" s="48">
        <f t="shared" si="2"/>
        <v>1.0269145035120423E-3</v>
      </c>
      <c r="F25" s="48">
        <f t="shared" si="3"/>
        <v>2.5739562641367749E-4</v>
      </c>
      <c r="G25" s="48">
        <f t="shared" si="4"/>
        <v>2.526170462326921E-3</v>
      </c>
      <c r="H25" s="30">
        <f t="shared" si="5"/>
        <v>0</v>
      </c>
    </row>
    <row r="26" spans="2:8" x14ac:dyDescent="0.25">
      <c r="B26" s="26">
        <v>23</v>
      </c>
      <c r="C26" s="52">
        <f t="shared" si="0"/>
        <v>0.81941237005377587</v>
      </c>
      <c r="D26" s="52">
        <f t="shared" si="1"/>
        <v>0.64151011524075341</v>
      </c>
      <c r="E26" s="48">
        <f t="shared" si="2"/>
        <v>-0.17790225481302246</v>
      </c>
      <c r="F26" s="48">
        <f t="shared" si="3"/>
        <v>-4.4591114607299545E-2</v>
      </c>
      <c r="G26" s="48">
        <f t="shared" si="4"/>
        <v>0.77482125544647629</v>
      </c>
      <c r="H26" s="30">
        <f t="shared" si="5"/>
        <v>0</v>
      </c>
    </row>
    <row r="27" spans="2:8" x14ac:dyDescent="0.25">
      <c r="B27" s="26">
        <v>24</v>
      </c>
      <c r="C27" s="52">
        <f t="shared" si="0"/>
        <v>2.4652728971896356E-3</v>
      </c>
      <c r="D27" s="52">
        <f t="shared" si="1"/>
        <v>5.6815989694872823E-4</v>
      </c>
      <c r="E27" s="48">
        <f t="shared" si="2"/>
        <v>-1.8971130002409073E-3</v>
      </c>
      <c r="F27" s="48">
        <f t="shared" si="3"/>
        <v>-4.7551046109927026E-4</v>
      </c>
      <c r="G27" s="48">
        <f t="shared" si="4"/>
        <v>1.9897624360903652E-3</v>
      </c>
      <c r="H27" s="30">
        <f t="shared" si="5"/>
        <v>0</v>
      </c>
    </row>
    <row r="28" spans="2:8" x14ac:dyDescent="0.25">
      <c r="B28" s="26">
        <v>25</v>
      </c>
      <c r="C28" s="52">
        <f t="shared" si="0"/>
        <v>0.57911197721694829</v>
      </c>
      <c r="D28" s="52">
        <f t="shared" si="1"/>
        <v>0.47588131924725879</v>
      </c>
      <c r="E28" s="48">
        <f t="shared" si="2"/>
        <v>-0.1032306579696895</v>
      </c>
      <c r="F28" s="48">
        <f t="shared" si="3"/>
        <v>-2.5874714771610709E-2</v>
      </c>
      <c r="G28" s="48">
        <f t="shared" si="4"/>
        <v>0.55323726244533755</v>
      </c>
      <c r="H28" s="30">
        <f t="shared" si="5"/>
        <v>0</v>
      </c>
    </row>
    <row r="29" spans="2:8" x14ac:dyDescent="0.25">
      <c r="B29" s="26">
        <v>26</v>
      </c>
      <c r="C29" s="52">
        <f t="shared" si="0"/>
        <v>2.35923526977449E-3</v>
      </c>
      <c r="D29" s="52">
        <f t="shared" si="1"/>
        <v>3.048115692564884E-3</v>
      </c>
      <c r="E29" s="48">
        <f t="shared" si="2"/>
        <v>6.8888042279039406E-4</v>
      </c>
      <c r="F29" s="48">
        <f t="shared" si="3"/>
        <v>1.7266754665732809E-4</v>
      </c>
      <c r="G29" s="48">
        <f t="shared" si="4"/>
        <v>2.5319028164318179E-3</v>
      </c>
      <c r="H29" s="30">
        <f t="shared" si="5"/>
        <v>0</v>
      </c>
    </row>
    <row r="30" spans="2:8" x14ac:dyDescent="0.25">
      <c r="B30" s="26">
        <v>27</v>
      </c>
      <c r="C30" s="52">
        <f t="shared" si="0"/>
        <v>6.8011485955306775E-2</v>
      </c>
      <c r="D30" s="52">
        <f t="shared" si="1"/>
        <v>5.56664765461901E-2</v>
      </c>
      <c r="E30" s="48">
        <f t="shared" si="2"/>
        <v>-1.2345009409116675E-2</v>
      </c>
      <c r="F30" s="48">
        <f t="shared" si="3"/>
        <v>-3.0942706710978566E-3</v>
      </c>
      <c r="G30" s="48">
        <f t="shared" si="4"/>
        <v>6.4917215284208921E-2</v>
      </c>
      <c r="H30" s="30">
        <f t="shared" si="5"/>
        <v>0</v>
      </c>
    </row>
    <row r="31" spans="2:8" x14ac:dyDescent="0.25">
      <c r="B31" s="26">
        <v>28</v>
      </c>
      <c r="C31" s="52">
        <f t="shared" si="0"/>
        <v>1.2486380283558422E-3</v>
      </c>
      <c r="D31" s="52">
        <f t="shared" si="1"/>
        <v>3.2293207653354824E-3</v>
      </c>
      <c r="E31" s="48">
        <f t="shared" si="2"/>
        <v>1.9806827369796402E-3</v>
      </c>
      <c r="F31" s="48">
        <f t="shared" si="3"/>
        <v>4.9645717542020598E-4</v>
      </c>
      <c r="G31" s="48">
        <f t="shared" si="4"/>
        <v>1.7450952037760482E-3</v>
      </c>
      <c r="H31" s="30">
        <f t="shared" si="5"/>
        <v>0</v>
      </c>
    </row>
    <row r="32" spans="2:8" x14ac:dyDescent="0.25">
      <c r="B32" s="26">
        <v>29</v>
      </c>
      <c r="C32" s="52">
        <f t="shared" si="0"/>
        <v>0.46727025134098182</v>
      </c>
      <c r="D32" s="52">
        <f t="shared" si="1"/>
        <v>0.45386743782930422</v>
      </c>
      <c r="E32" s="48">
        <f t="shared" si="2"/>
        <v>-1.3402813511677603E-2</v>
      </c>
      <c r="F32" s="48">
        <f t="shared" si="3"/>
        <v>-3.3594087606568721E-3</v>
      </c>
      <c r="G32" s="48">
        <f t="shared" si="4"/>
        <v>0.46391084258032494</v>
      </c>
      <c r="H32" s="30">
        <f t="shared" si="5"/>
        <v>0</v>
      </c>
    </row>
    <row r="33" spans="2:8" x14ac:dyDescent="0.25">
      <c r="B33" s="26">
        <v>30</v>
      </c>
      <c r="C33" s="52">
        <f t="shared" si="0"/>
        <v>8.6189772740157076E-4</v>
      </c>
      <c r="D33" s="52">
        <f t="shared" si="1"/>
        <v>7.0587971191137216E-4</v>
      </c>
      <c r="E33" s="48">
        <f t="shared" si="2"/>
        <v>-1.560180154901986E-4</v>
      </c>
      <c r="F33" s="48">
        <f t="shared" si="3"/>
        <v>-3.9105840546196535E-5</v>
      </c>
      <c r="G33" s="48">
        <f t="shared" si="4"/>
        <v>8.227918868553742E-4</v>
      </c>
      <c r="H33" s="30">
        <f t="shared" si="5"/>
        <v>0</v>
      </c>
    </row>
    <row r="34" spans="2:8" x14ac:dyDescent="0.25">
      <c r="B34" s="26">
        <v>31</v>
      </c>
      <c r="C34" s="52">
        <f t="shared" si="0"/>
        <v>0.31678577460681751</v>
      </c>
      <c r="D34" s="52">
        <f t="shared" si="1"/>
        <v>0.30877008317967913</v>
      </c>
      <c r="E34" s="48">
        <f t="shared" si="2"/>
        <v>-8.0156914271383717E-3</v>
      </c>
      <c r="F34" s="48">
        <f t="shared" si="3"/>
        <v>-2.0091292010881909E-3</v>
      </c>
      <c r="G34" s="48">
        <f t="shared" si="4"/>
        <v>0.31477664540572931</v>
      </c>
      <c r="H34" s="30">
        <f t="shared" si="5"/>
        <v>0</v>
      </c>
    </row>
    <row r="35" spans="2:8" x14ac:dyDescent="0.25">
      <c r="B35" s="26">
        <v>32</v>
      </c>
      <c r="C35" s="52">
        <f t="shared" si="0"/>
        <v>2.2444292602197963E-3</v>
      </c>
      <c r="D35" s="52">
        <f t="shared" si="1"/>
        <v>2.8384966763810126E-3</v>
      </c>
      <c r="E35" s="48">
        <f t="shared" si="2"/>
        <v>5.9406741616121637E-4</v>
      </c>
      <c r="F35" s="48">
        <f t="shared" si="3"/>
        <v>1.4890271214577114E-4</v>
      </c>
      <c r="G35" s="48">
        <f t="shared" si="4"/>
        <v>2.3933319723655672E-3</v>
      </c>
      <c r="H35" s="30">
        <f t="shared" si="5"/>
        <v>0</v>
      </c>
    </row>
    <row r="36" spans="2:8" x14ac:dyDescent="0.25">
      <c r="B36" s="26">
        <v>33</v>
      </c>
      <c r="C36" s="52">
        <f t="shared" si="0"/>
        <v>5.6413371607669127E-2</v>
      </c>
      <c r="D36" s="52">
        <f t="shared" si="1"/>
        <v>4.1647697018963321E-2</v>
      </c>
      <c r="E36" s="48">
        <f t="shared" si="2"/>
        <v>-1.4765674588705806E-2</v>
      </c>
      <c r="F36" s="48">
        <f t="shared" si="3"/>
        <v>-3.7010092341498244E-3</v>
      </c>
      <c r="G36" s="48">
        <f t="shared" si="4"/>
        <v>5.2712362373519304E-2</v>
      </c>
      <c r="H36" s="30">
        <f t="shared" si="5"/>
        <v>0</v>
      </c>
    </row>
    <row r="37" spans="2:8" x14ac:dyDescent="0.25">
      <c r="B37" s="26">
        <v>34</v>
      </c>
      <c r="C37" s="52">
        <f t="shared" si="0"/>
        <v>3.9509788445304235E-2</v>
      </c>
      <c r="D37" s="52">
        <f t="shared" si="1"/>
        <v>2.9542651780987427E-2</v>
      </c>
      <c r="E37" s="48">
        <f t="shared" si="2"/>
        <v>-9.9671366643168079E-3</v>
      </c>
      <c r="F37" s="48">
        <f t="shared" si="3"/>
        <v>-2.4982580112449175E-3</v>
      </c>
      <c r="G37" s="48">
        <f t="shared" si="4"/>
        <v>3.7011530434059317E-2</v>
      </c>
      <c r="H37" s="30">
        <f t="shared" si="5"/>
        <v>0</v>
      </c>
    </row>
    <row r="38" spans="2:8" x14ac:dyDescent="0.25">
      <c r="B38" s="26">
        <v>35</v>
      </c>
      <c r="C38" s="52">
        <f t="shared" si="0"/>
        <v>0.35166631128246867</v>
      </c>
      <c r="D38" s="52">
        <f t="shared" si="1"/>
        <v>0.28545240285608292</v>
      </c>
      <c r="E38" s="48">
        <f t="shared" si="2"/>
        <v>-6.6213908426385748E-2</v>
      </c>
      <c r="F38" s="48">
        <f t="shared" si="3"/>
        <v>-1.6596484301682257E-2</v>
      </c>
      <c r="G38" s="48">
        <f t="shared" si="4"/>
        <v>0.33506982698078641</v>
      </c>
      <c r="H38" s="30">
        <f t="shared" si="5"/>
        <v>0</v>
      </c>
    </row>
    <row r="39" spans="2:8" x14ac:dyDescent="0.25">
      <c r="B39" s="26">
        <v>36</v>
      </c>
      <c r="C39" s="52">
        <f t="shared" si="0"/>
        <v>3.9509788445304235E-2</v>
      </c>
      <c r="D39" s="52">
        <f t="shared" si="1"/>
        <v>2.9542651780987427E-2</v>
      </c>
      <c r="E39" s="48">
        <f t="shared" si="2"/>
        <v>-9.9671366643168079E-3</v>
      </c>
      <c r="F39" s="48">
        <f t="shared" si="3"/>
        <v>-2.4982580112449175E-3</v>
      </c>
      <c r="G39" s="48">
        <f t="shared" si="4"/>
        <v>3.7011530434059317E-2</v>
      </c>
      <c r="H39" s="30">
        <f t="shared" si="5"/>
        <v>0</v>
      </c>
    </row>
    <row r="40" spans="2:8" x14ac:dyDescent="0.25">
      <c r="B40" s="26">
        <v>37</v>
      </c>
      <c r="C40" s="52">
        <f t="shared" si="0"/>
        <v>0.23495243567481122</v>
      </c>
      <c r="D40" s="52">
        <f t="shared" si="1"/>
        <v>0.1983093021126322</v>
      </c>
      <c r="E40" s="48">
        <f t="shared" si="2"/>
        <v>-3.664313356217902E-2</v>
      </c>
      <c r="F40" s="48">
        <f t="shared" si="3"/>
        <v>-9.184583803949084E-3</v>
      </c>
      <c r="G40" s="48">
        <f t="shared" si="4"/>
        <v>0.22576785187086212</v>
      </c>
      <c r="H40" s="30">
        <f t="shared" si="5"/>
        <v>0</v>
      </c>
    </row>
    <row r="41" spans="2:8" x14ac:dyDescent="0.25">
      <c r="B41" s="26">
        <v>38</v>
      </c>
      <c r="C41" s="52">
        <f t="shared" si="0"/>
        <v>3.9509788445304235E-2</v>
      </c>
      <c r="D41" s="52">
        <f t="shared" si="1"/>
        <v>2.9542651780987427E-2</v>
      </c>
      <c r="E41" s="48">
        <f t="shared" si="2"/>
        <v>-9.9671366643168079E-3</v>
      </c>
      <c r="F41" s="48">
        <f t="shared" si="3"/>
        <v>-2.4982580112449175E-3</v>
      </c>
      <c r="G41" s="48">
        <f t="shared" si="4"/>
        <v>3.7011530434059317E-2</v>
      </c>
      <c r="H41" s="30">
        <f t="shared" si="5"/>
        <v>0</v>
      </c>
    </row>
    <row r="42" spans="2:8" x14ac:dyDescent="0.25">
      <c r="B42" s="26">
        <v>39</v>
      </c>
      <c r="C42" s="52">
        <f t="shared" si="0"/>
        <v>4.2850088405828553E-2</v>
      </c>
      <c r="D42" s="52">
        <f t="shared" si="1"/>
        <v>3.5922322150466021E-2</v>
      </c>
      <c r="E42" s="48">
        <f t="shared" si="2"/>
        <v>-6.9277662553625316E-3</v>
      </c>
      <c r="F42" s="48">
        <f t="shared" si="3"/>
        <v>-1.7364412800171002E-3</v>
      </c>
      <c r="G42" s="48">
        <f t="shared" si="4"/>
        <v>4.1113647125811455E-2</v>
      </c>
      <c r="H42" s="30">
        <f t="shared" si="5"/>
        <v>0</v>
      </c>
    </row>
    <row r="43" spans="2:8" x14ac:dyDescent="0.25">
      <c r="B43" s="26">
        <v>40</v>
      </c>
      <c r="C43" s="52">
        <f t="shared" si="0"/>
        <v>3.9509788445304235E-2</v>
      </c>
      <c r="D43" s="52">
        <f t="shared" si="1"/>
        <v>2.9542651780987427E-2</v>
      </c>
      <c r="E43" s="48">
        <f t="shared" si="2"/>
        <v>-9.9671366643168079E-3</v>
      </c>
      <c r="F43" s="48">
        <f t="shared" si="3"/>
        <v>-2.4982580112449175E-3</v>
      </c>
      <c r="G43" s="48">
        <f t="shared" si="4"/>
        <v>3.7011530434059317E-2</v>
      </c>
      <c r="H43" s="30">
        <f t="shared" si="5"/>
        <v>0</v>
      </c>
    </row>
    <row r="44" spans="2:8" x14ac:dyDescent="0.25">
      <c r="B44" s="26">
        <v>41</v>
      </c>
      <c r="C44" s="52">
        <f t="shared" si="0"/>
        <v>0.23528249165808171</v>
      </c>
      <c r="D44" s="52">
        <f t="shared" si="1"/>
        <v>0.21930268062364178</v>
      </c>
      <c r="E44" s="48">
        <f t="shared" si="2"/>
        <v>-1.5979811034439934E-2</v>
      </c>
      <c r="F44" s="48">
        <f t="shared" si="3"/>
        <v>-4.0053319503376055E-3</v>
      </c>
      <c r="G44" s="48">
        <f t="shared" si="4"/>
        <v>0.2312771597077441</v>
      </c>
      <c r="H44" s="30">
        <f t="shared" si="5"/>
        <v>0</v>
      </c>
    </row>
    <row r="45" spans="2:8" x14ac:dyDescent="0.25">
      <c r="B45" s="26">
        <v>42</v>
      </c>
      <c r="C45" s="52">
        <f t="shared" si="0"/>
        <v>3.9509788445304235E-2</v>
      </c>
      <c r="D45" s="52">
        <f t="shared" si="1"/>
        <v>2.9542651780987427E-2</v>
      </c>
      <c r="E45" s="48">
        <f t="shared" si="2"/>
        <v>-9.9671366643168079E-3</v>
      </c>
      <c r="F45" s="48">
        <f t="shared" si="3"/>
        <v>-2.4982580112449175E-3</v>
      </c>
      <c r="G45" s="48">
        <f t="shared" si="4"/>
        <v>3.7011530434059317E-2</v>
      </c>
      <c r="H45" s="30">
        <f t="shared" si="5"/>
        <v>0</v>
      </c>
    </row>
    <row r="46" spans="2:8" x14ac:dyDescent="0.25">
      <c r="B46" s="26">
        <v>43</v>
      </c>
      <c r="C46" s="52">
        <f t="shared" si="0"/>
        <v>0.14969356494618877</v>
      </c>
      <c r="D46" s="52">
        <f t="shared" si="1"/>
        <v>0.15402172112964774</v>
      </c>
      <c r="E46" s="48">
        <f t="shared" si="2"/>
        <v>4.3281561834589699E-3</v>
      </c>
      <c r="F46" s="48">
        <f t="shared" si="3"/>
        <v>1.0848502657695583E-3</v>
      </c>
      <c r="G46" s="48">
        <f t="shared" si="4"/>
        <v>0.15077841521195834</v>
      </c>
      <c r="H46" s="30">
        <f t="shared" si="5"/>
        <v>0</v>
      </c>
    </row>
    <row r="47" spans="2:8" x14ac:dyDescent="0.25">
      <c r="B47" s="26">
        <v>44</v>
      </c>
      <c r="C47" s="52">
        <f t="shared" si="0"/>
        <v>3.9509788445304235E-2</v>
      </c>
      <c r="D47" s="52">
        <f t="shared" si="1"/>
        <v>2.9542651780987427E-2</v>
      </c>
      <c r="E47" s="48">
        <f t="shared" si="2"/>
        <v>-9.9671366643168079E-3</v>
      </c>
      <c r="F47" s="48">
        <f t="shared" si="3"/>
        <v>-2.4982580112449175E-3</v>
      </c>
      <c r="G47" s="48">
        <f t="shared" si="4"/>
        <v>3.7011530434059317E-2</v>
      </c>
      <c r="H47" s="30">
        <f t="shared" si="5"/>
        <v>0</v>
      </c>
    </row>
    <row r="48" spans="2:8" x14ac:dyDescent="0.25">
      <c r="B48" s="26">
        <v>45</v>
      </c>
      <c r="C48" s="52">
        <f t="shared" si="0"/>
        <v>3.9511622355493263E-2</v>
      </c>
      <c r="D48" s="52">
        <f t="shared" si="1"/>
        <v>2.9543012509050892E-2</v>
      </c>
      <c r="E48" s="48">
        <f t="shared" si="2"/>
        <v>-9.9686098464423709E-3</v>
      </c>
      <c r="F48" s="48">
        <f t="shared" si="3"/>
        <v>-2.4986272636361674E-3</v>
      </c>
      <c r="G48" s="48">
        <f t="shared" si="4"/>
        <v>3.7012995091857098E-2</v>
      </c>
      <c r="H48" s="30">
        <f t="shared" si="5"/>
        <v>0</v>
      </c>
    </row>
    <row r="49" spans="1:21" x14ac:dyDescent="0.25">
      <c r="B49" s="26">
        <v>46</v>
      </c>
      <c r="C49" s="52">
        <f t="shared" si="0"/>
        <v>3.9509788445304235E-2</v>
      </c>
      <c r="D49" s="52">
        <f t="shared" si="1"/>
        <v>2.9542651780987427E-2</v>
      </c>
      <c r="E49" s="48">
        <f t="shared" si="2"/>
        <v>-9.9671366643168079E-3</v>
      </c>
      <c r="F49" s="48">
        <f t="shared" si="3"/>
        <v>-2.4982580112449175E-3</v>
      </c>
      <c r="G49" s="48">
        <f t="shared" si="4"/>
        <v>3.7011530434059317E-2</v>
      </c>
      <c r="H49" s="30">
        <f t="shared" si="5"/>
        <v>0</v>
      </c>
    </row>
    <row r="50" spans="1:21" x14ac:dyDescent="0.25">
      <c r="B50" s="26">
        <v>47</v>
      </c>
      <c r="C50" s="52">
        <f t="shared" si="0"/>
        <v>0.18456070692514012</v>
      </c>
      <c r="D50" s="52">
        <f t="shared" si="1"/>
        <v>0.16108516476637483</v>
      </c>
      <c r="E50" s="48">
        <f t="shared" si="2"/>
        <v>-2.3475542158765295E-2</v>
      </c>
      <c r="F50" s="48">
        <f t="shared" si="3"/>
        <v>-5.8841333515991471E-3</v>
      </c>
      <c r="G50" s="48">
        <f t="shared" si="4"/>
        <v>0.17867657357354097</v>
      </c>
      <c r="H50" s="30">
        <f t="shared" si="5"/>
        <v>0</v>
      </c>
    </row>
    <row r="51" spans="1:21" x14ac:dyDescent="0.25">
      <c r="B51" s="26">
        <v>48</v>
      </c>
      <c r="C51" s="52">
        <f t="shared" si="0"/>
        <v>3.9509788445304235E-2</v>
      </c>
      <c r="D51" s="52">
        <f t="shared" si="1"/>
        <v>2.9542651780987427E-2</v>
      </c>
      <c r="E51" s="48">
        <f t="shared" si="2"/>
        <v>-9.9671366643168079E-3</v>
      </c>
      <c r="F51" s="48">
        <f t="shared" si="3"/>
        <v>-2.4982580112449175E-3</v>
      </c>
      <c r="G51" s="48">
        <f t="shared" si="4"/>
        <v>3.7011530434059317E-2</v>
      </c>
      <c r="H51" s="30">
        <f t="shared" si="5"/>
        <v>0</v>
      </c>
    </row>
    <row r="52" spans="1:21" x14ac:dyDescent="0.25">
      <c r="B52" s="26">
        <v>49</v>
      </c>
      <c r="C52" s="52">
        <f t="shared" si="0"/>
        <v>0.11324661442841535</v>
      </c>
      <c r="D52" s="52">
        <f t="shared" si="1"/>
        <v>0.10591950094820782</v>
      </c>
      <c r="E52" s="48">
        <f t="shared" si="2"/>
        <v>-7.3271134802075366E-3</v>
      </c>
      <c r="F52" s="48">
        <f t="shared" si="3"/>
        <v>-1.8365374698595862E-3</v>
      </c>
      <c r="G52" s="48">
        <f t="shared" si="4"/>
        <v>0.11141007695855577</v>
      </c>
      <c r="H52" s="30">
        <f t="shared" si="5"/>
        <v>0</v>
      </c>
    </row>
    <row r="53" spans="1:21" x14ac:dyDescent="0.25">
      <c r="B53" s="26">
        <v>50</v>
      </c>
      <c r="C53" s="52">
        <f t="shared" si="0"/>
        <v>3.9509788445304235E-2</v>
      </c>
      <c r="D53" s="52">
        <f t="shared" si="1"/>
        <v>2.9542651780987427E-2</v>
      </c>
      <c r="E53" s="48">
        <f t="shared" si="2"/>
        <v>-9.9671366643168079E-3</v>
      </c>
      <c r="F53" s="48">
        <f t="shared" si="3"/>
        <v>-2.4982580112449175E-3</v>
      </c>
      <c r="G53" s="48">
        <f t="shared" si="4"/>
        <v>3.7011530434059317E-2</v>
      </c>
      <c r="H53" s="30">
        <f t="shared" si="5"/>
        <v>0</v>
      </c>
    </row>
    <row r="54" spans="1:21" x14ac:dyDescent="0.25">
      <c r="E54" s="32"/>
      <c r="F54" s="32"/>
    </row>
    <row r="55" spans="1:21" x14ac:dyDescent="0.25">
      <c r="F55" s="26" t="s">
        <v>85</v>
      </c>
      <c r="G55" s="29">
        <f>IF(H4=0,0,100*H55/H4)</f>
        <v>0</v>
      </c>
      <c r="H55" s="29">
        <f>SQRT(SUMSQ(H5:H53))</f>
        <v>0</v>
      </c>
      <c r="I55" s="26" t="s">
        <v>52</v>
      </c>
    </row>
    <row r="56" spans="1:21" x14ac:dyDescent="0.25">
      <c r="F56" s="26" t="s">
        <v>86</v>
      </c>
      <c r="G56" s="29">
        <f>SQRT(SUMSQ(G4:G53))</f>
        <v>102.7069297209745</v>
      </c>
      <c r="H56" s="29">
        <f>SQRT(SUMSQ(H4:H53))</f>
        <v>0</v>
      </c>
      <c r="I56" s="26" t="s">
        <v>54</v>
      </c>
    </row>
    <row r="57" spans="1:21" x14ac:dyDescent="0.25">
      <c r="G57" s="26" t="s">
        <v>87</v>
      </c>
      <c r="H57" s="26" t="s">
        <v>13</v>
      </c>
    </row>
    <row r="59" spans="1:21" x14ac:dyDescent="0.25">
      <c r="A59" s="25" t="s">
        <v>63</v>
      </c>
      <c r="C59" s="36"/>
      <c r="D59" s="36"/>
      <c r="E59" s="36"/>
      <c r="F59" s="36"/>
      <c r="G59" s="36"/>
      <c r="H59" s="36"/>
      <c r="I59" s="36"/>
      <c r="J59" s="36"/>
      <c r="K59" s="36"/>
      <c r="L59" s="36"/>
      <c r="M59" s="36"/>
      <c r="N59" s="36"/>
      <c r="O59" s="36"/>
      <c r="P59" s="36"/>
      <c r="Q59" s="36"/>
      <c r="R59" s="36"/>
      <c r="S59" s="36"/>
    </row>
    <row r="60" spans="1:21" ht="14.4" x14ac:dyDescent="0.3">
      <c r="C60" s="1" t="s">
        <v>478</v>
      </c>
      <c r="D60" s="7">
        <f>100/D62</f>
        <v>1000</v>
      </c>
      <c r="E60" s="7">
        <f t="shared" ref="E60:U60" si="6">100/E62</f>
        <v>200</v>
      </c>
      <c r="F60" s="7">
        <f t="shared" si="6"/>
        <v>100</v>
      </c>
      <c r="G60" s="7">
        <f t="shared" si="6"/>
        <v>50</v>
      </c>
      <c r="H60" s="7">
        <f t="shared" si="6"/>
        <v>33.333333333333336</v>
      </c>
      <c r="I60" s="7">
        <f t="shared" si="6"/>
        <v>25</v>
      </c>
      <c r="J60" s="7">
        <f t="shared" si="6"/>
        <v>20</v>
      </c>
      <c r="K60" s="7">
        <f t="shared" si="6"/>
        <v>16.666666666666668</v>
      </c>
      <c r="L60" s="7">
        <f t="shared" si="6"/>
        <v>14.285714285714286</v>
      </c>
      <c r="M60" s="7">
        <f t="shared" si="6"/>
        <v>12.5</v>
      </c>
      <c r="N60" s="7">
        <f t="shared" si="6"/>
        <v>10</v>
      </c>
      <c r="O60" s="7">
        <f t="shared" si="6"/>
        <v>8.3333333333333339</v>
      </c>
      <c r="P60" s="7">
        <f t="shared" si="6"/>
        <v>7.1428571428571432</v>
      </c>
      <c r="Q60" s="7">
        <f t="shared" si="6"/>
        <v>5.5555555555555554</v>
      </c>
      <c r="R60" s="7">
        <f t="shared" si="6"/>
        <v>4.7619047619047619</v>
      </c>
      <c r="S60" s="7">
        <f t="shared" si="6"/>
        <v>1</v>
      </c>
      <c r="T60" s="7">
        <f t="shared" si="6"/>
        <v>0.1</v>
      </c>
      <c r="U60" s="7">
        <f t="shared" si="6"/>
        <v>0.01</v>
      </c>
    </row>
    <row r="61" spans="1:21" ht="14.4" x14ac:dyDescent="0.3">
      <c r="C61" s="1" t="s">
        <v>64</v>
      </c>
      <c r="D61">
        <v>0</v>
      </c>
      <c r="E61">
        <v>1</v>
      </c>
      <c r="F61">
        <v>2</v>
      </c>
      <c r="G61">
        <v>3</v>
      </c>
      <c r="H61">
        <v>4</v>
      </c>
      <c r="I61">
        <v>5</v>
      </c>
      <c r="J61">
        <v>6</v>
      </c>
      <c r="K61">
        <v>7</v>
      </c>
      <c r="L61">
        <v>8</v>
      </c>
      <c r="M61">
        <v>9</v>
      </c>
      <c r="N61">
        <v>10</v>
      </c>
      <c r="O61">
        <v>11</v>
      </c>
      <c r="P61">
        <v>12</v>
      </c>
      <c r="Q61">
        <v>13</v>
      </c>
      <c r="R61">
        <v>14</v>
      </c>
      <c r="S61">
        <v>15</v>
      </c>
      <c r="T61">
        <v>16</v>
      </c>
      <c r="U61">
        <v>17</v>
      </c>
    </row>
    <row r="62" spans="1:21" ht="14.4" x14ac:dyDescent="0.3">
      <c r="A62" s="26" t="s">
        <v>65</v>
      </c>
      <c r="B62" s="54"/>
      <c r="C62" s="216" t="s">
        <v>1</v>
      </c>
      <c r="D62" s="296">
        <v>0.1</v>
      </c>
      <c r="E62" s="296">
        <v>0.5</v>
      </c>
      <c r="F62" s="296">
        <v>1</v>
      </c>
      <c r="G62" s="296">
        <v>2</v>
      </c>
      <c r="H62" s="296">
        <v>3</v>
      </c>
      <c r="I62" s="296">
        <v>4</v>
      </c>
      <c r="J62" s="296">
        <v>5</v>
      </c>
      <c r="K62" s="296">
        <v>6</v>
      </c>
      <c r="L62" s="296">
        <v>7</v>
      </c>
      <c r="M62" s="296">
        <v>8</v>
      </c>
      <c r="N62" s="296">
        <v>10</v>
      </c>
      <c r="O62" s="296">
        <v>12</v>
      </c>
      <c r="P62" s="296">
        <v>14</v>
      </c>
      <c r="Q62" s="296">
        <v>18</v>
      </c>
      <c r="R62" s="296">
        <v>21</v>
      </c>
      <c r="S62" s="296">
        <v>100</v>
      </c>
      <c r="T62" s="296">
        <v>1000</v>
      </c>
      <c r="U62" s="296">
        <v>10000</v>
      </c>
    </row>
    <row r="63" spans="1:21" ht="14.4" x14ac:dyDescent="0.3">
      <c r="A63" s="31"/>
      <c r="C63" s="1" t="s">
        <v>64</v>
      </c>
      <c r="D63">
        <v>0</v>
      </c>
      <c r="E63">
        <v>1</v>
      </c>
      <c r="F63">
        <v>2</v>
      </c>
      <c r="G63">
        <v>3</v>
      </c>
      <c r="H63">
        <v>4</v>
      </c>
      <c r="I63">
        <v>5</v>
      </c>
      <c r="J63">
        <v>6</v>
      </c>
      <c r="K63">
        <v>7</v>
      </c>
      <c r="L63">
        <v>8</v>
      </c>
      <c r="M63">
        <v>9</v>
      </c>
      <c r="N63">
        <v>10</v>
      </c>
      <c r="O63">
        <v>11</v>
      </c>
      <c r="P63">
        <v>12</v>
      </c>
      <c r="Q63">
        <v>13</v>
      </c>
      <c r="R63">
        <v>14</v>
      </c>
      <c r="S63">
        <v>15</v>
      </c>
      <c r="T63">
        <v>16</v>
      </c>
      <c r="U63">
        <v>17</v>
      </c>
    </row>
    <row r="64" spans="1:21" ht="14.4" x14ac:dyDescent="0.3">
      <c r="A64" s="43">
        <v>2</v>
      </c>
      <c r="B64" s="43"/>
      <c r="C64" s="1"/>
      <c r="D64" s="298">
        <v>1.7291324964220301E-2</v>
      </c>
      <c r="E64" s="298">
        <v>6.6998018440489568E-2</v>
      </c>
      <c r="F64" s="298">
        <v>0.12416560747379798</v>
      </c>
      <c r="G64" s="298">
        <v>0.19164678959143519</v>
      </c>
      <c r="H64" s="298">
        <v>3.2432337711389723E-2</v>
      </c>
      <c r="I64" s="298">
        <v>2.6794917304969575E-2</v>
      </c>
      <c r="J64" s="298">
        <v>1.0787351058726545E-2</v>
      </c>
      <c r="K64" s="298">
        <v>1.5488830696511377E-2</v>
      </c>
      <c r="L64" s="298">
        <v>1.1120918013740941E-2</v>
      </c>
      <c r="M64" s="298">
        <v>1.2571907703050382E-2</v>
      </c>
      <c r="N64" s="298">
        <v>2.636287592484499E-2</v>
      </c>
      <c r="O64" s="298">
        <v>3.9068771982494086E-3</v>
      </c>
      <c r="P64" s="298">
        <v>1.783236037225493E-2</v>
      </c>
      <c r="Q64" s="298">
        <v>6.5715038062707058E-3</v>
      </c>
      <c r="R64" s="298">
        <v>5.7146036546192576E-3</v>
      </c>
      <c r="S64" s="298">
        <v>5.7146036546192576E-3</v>
      </c>
      <c r="T64" s="298">
        <v>5.7146036546192576E-3</v>
      </c>
      <c r="U64" s="298">
        <v>5.7146036546192576E-3</v>
      </c>
    </row>
    <row r="65" spans="1:21" ht="14.4" x14ac:dyDescent="0.3">
      <c r="A65" s="43">
        <v>3</v>
      </c>
      <c r="B65" s="43"/>
      <c r="C65" s="1"/>
      <c r="D65" s="298">
        <v>0.55385104430828935</v>
      </c>
      <c r="E65" s="298">
        <v>8.5473774716319078</v>
      </c>
      <c r="F65" s="298">
        <v>4.3857615521600959</v>
      </c>
      <c r="G65" s="298">
        <v>4.8916763402676038</v>
      </c>
      <c r="H65" s="298">
        <v>5.107248510230364</v>
      </c>
      <c r="I65" s="298">
        <v>6.2072885442798249</v>
      </c>
      <c r="J65" s="298">
        <v>7.7608557639223745</v>
      </c>
      <c r="K65" s="298">
        <v>5.1365577880102951</v>
      </c>
      <c r="L65" s="298">
        <v>3.7115343236794409</v>
      </c>
      <c r="M65" s="298">
        <v>2.8652501742303245</v>
      </c>
      <c r="N65" s="298">
        <v>1.976424393859703</v>
      </c>
      <c r="O65" s="298">
        <v>1.512989131711088</v>
      </c>
      <c r="P65" s="298">
        <v>1.2479844012146544</v>
      </c>
      <c r="Q65" s="298">
        <v>0.90186138282906037</v>
      </c>
      <c r="R65" s="298">
        <v>0.8611207071065603</v>
      </c>
      <c r="S65" s="298">
        <v>0.8611207071065603</v>
      </c>
      <c r="T65" s="298">
        <v>0.8611207071065603</v>
      </c>
      <c r="U65" s="298">
        <v>0.8611207071065603</v>
      </c>
    </row>
    <row r="66" spans="1:21" ht="14.4" x14ac:dyDescent="0.3">
      <c r="A66" s="43">
        <v>4</v>
      </c>
      <c r="B66" s="43"/>
      <c r="C66" s="1"/>
      <c r="D66" s="298">
        <v>0.13520250276733159</v>
      </c>
      <c r="E66" s="298">
        <v>2.8695360144102396E-2</v>
      </c>
      <c r="F66" s="298">
        <v>0.11237654569855723</v>
      </c>
      <c r="G66" s="298">
        <v>0.1270693443534559</v>
      </c>
      <c r="H66" s="298">
        <v>2.9673650735424224E-2</v>
      </c>
      <c r="I66" s="298">
        <v>2.1212221057019379E-2</v>
      </c>
      <c r="J66" s="298">
        <v>1.8916758051922035E-2</v>
      </c>
      <c r="K66" s="298">
        <v>2.4591818946340816E-2</v>
      </c>
      <c r="L66" s="298">
        <v>2.2309871990685983E-2</v>
      </c>
      <c r="M66" s="298">
        <v>1.4672119245636975E-2</v>
      </c>
      <c r="N66" s="298">
        <v>3.4977738354405041E-3</v>
      </c>
      <c r="O66" s="298">
        <v>3.318391374383355E-3</v>
      </c>
      <c r="P66" s="298">
        <v>1.8380050856337499E-2</v>
      </c>
      <c r="Q66" s="298">
        <v>5.7240454854559945E-3</v>
      </c>
      <c r="R66" s="298">
        <v>1.5847873572736098E-3</v>
      </c>
      <c r="S66" s="298">
        <v>1.5847873572736098E-3</v>
      </c>
      <c r="T66" s="298">
        <v>1.5847873572736098E-3</v>
      </c>
      <c r="U66" s="298">
        <v>1.5847873572736098E-3</v>
      </c>
    </row>
    <row r="67" spans="1:21" ht="14.4" x14ac:dyDescent="0.3">
      <c r="A67" s="43">
        <v>5</v>
      </c>
      <c r="B67" s="43"/>
      <c r="C67" s="1"/>
      <c r="D67" s="298">
        <v>93.368748010282204</v>
      </c>
      <c r="E67" s="298">
        <v>82.87682728374898</v>
      </c>
      <c r="F67" s="298">
        <v>73.247221838386295</v>
      </c>
      <c r="G67" s="298">
        <v>60.831459052554194</v>
      </c>
      <c r="H67" s="298">
        <v>49.382828970020235</v>
      </c>
      <c r="I67" s="298">
        <v>41.72752692184784</v>
      </c>
      <c r="J67" s="298">
        <v>37.27946499417164</v>
      </c>
      <c r="K67" s="298">
        <v>34.240442443062605</v>
      </c>
      <c r="L67" s="298">
        <v>31.801834469310585</v>
      </c>
      <c r="M67" s="298">
        <v>29.833911528390878</v>
      </c>
      <c r="N67" s="298">
        <v>26.829447444032468</v>
      </c>
      <c r="O67" s="298">
        <v>24.524377947577921</v>
      </c>
      <c r="P67" s="298">
        <v>22.666145948519805</v>
      </c>
      <c r="Q67" s="298">
        <v>19.683481307529799</v>
      </c>
      <c r="R67" s="298">
        <v>19.55420880107971</v>
      </c>
      <c r="S67" s="298">
        <v>19.55420880107971</v>
      </c>
      <c r="T67" s="298">
        <v>19.55420880107971</v>
      </c>
      <c r="U67" s="298">
        <v>19.55420880107971</v>
      </c>
    </row>
    <row r="68" spans="1:21" ht="14.4" x14ac:dyDescent="0.3">
      <c r="A68" s="43">
        <v>6</v>
      </c>
      <c r="B68" s="43"/>
      <c r="C68" s="1"/>
      <c r="D68" s="298">
        <v>6.8818496078623531E-2</v>
      </c>
      <c r="E68" s="298">
        <v>5.2936191485114158E-2</v>
      </c>
      <c r="F68" s="298">
        <v>7.0102641631974985E-3</v>
      </c>
      <c r="G68" s="298">
        <v>1.1862351899176933E-2</v>
      </c>
      <c r="H68" s="298">
        <v>1.9222702695116914E-3</v>
      </c>
      <c r="I68" s="298">
        <v>1.1087146410300954E-2</v>
      </c>
      <c r="J68" s="298">
        <v>6.7285132893848583E-3</v>
      </c>
      <c r="K68" s="298">
        <v>4.5194792975590103E-3</v>
      </c>
      <c r="L68" s="298">
        <v>6.0169639857389576E-3</v>
      </c>
      <c r="M68" s="298">
        <v>7.3330327729595772E-3</v>
      </c>
      <c r="N68" s="298">
        <v>4.9368015428742544E-3</v>
      </c>
      <c r="O68" s="298">
        <v>2.1005572354824645E-3</v>
      </c>
      <c r="P68" s="298">
        <v>9.2816222816082712E-3</v>
      </c>
      <c r="Q68" s="298">
        <v>3.8021989595571734E-3</v>
      </c>
      <c r="R68" s="298">
        <v>2.6949365909897677E-3</v>
      </c>
      <c r="S68" s="298">
        <v>2.6949365909897677E-3</v>
      </c>
      <c r="T68" s="298">
        <v>2.6949365909897677E-3</v>
      </c>
      <c r="U68" s="298">
        <v>2.6949365909897677E-3</v>
      </c>
    </row>
    <row r="69" spans="1:21" ht="14.4" x14ac:dyDescent="0.3">
      <c r="A69" s="43">
        <v>7</v>
      </c>
      <c r="B69" s="43"/>
      <c r="C69" s="1"/>
      <c r="D69" s="298">
        <v>85.792929223620419</v>
      </c>
      <c r="E69" s="298">
        <v>65.67536665068971</v>
      </c>
      <c r="F69" s="298">
        <v>52.471101352240538</v>
      </c>
      <c r="G69" s="298">
        <v>34.473926081721721</v>
      </c>
      <c r="H69" s="298">
        <v>20.70483242585701</v>
      </c>
      <c r="I69" s="298">
        <v>13.8859457017344</v>
      </c>
      <c r="J69" s="298">
        <v>10.407370469722119</v>
      </c>
      <c r="K69" s="298">
        <v>8.4234250472584673</v>
      </c>
      <c r="L69" s="298">
        <v>7.3447486655802345</v>
      </c>
      <c r="M69" s="298">
        <v>6.8022663683683335</v>
      </c>
      <c r="N69" s="298">
        <v>6.5166708279323533</v>
      </c>
      <c r="O69" s="298">
        <v>6.6273860488121423</v>
      </c>
      <c r="P69" s="298">
        <v>6.8022403042729351</v>
      </c>
      <c r="Q69" s="298">
        <v>6.987229811341364</v>
      </c>
      <c r="R69" s="298">
        <v>7.326010337515557</v>
      </c>
      <c r="S69" s="298">
        <v>7.326010337515557</v>
      </c>
      <c r="T69" s="298">
        <v>7.326010337515557</v>
      </c>
      <c r="U69" s="298">
        <v>7.326010337515557</v>
      </c>
    </row>
    <row r="70" spans="1:21" ht="14.4" x14ac:dyDescent="0.3">
      <c r="A70" s="43">
        <v>8</v>
      </c>
      <c r="B70" s="43"/>
      <c r="C70" s="1"/>
      <c r="D70" s="298">
        <v>0.15207091572872264</v>
      </c>
      <c r="E70" s="298">
        <v>5.2891824469196221E-2</v>
      </c>
      <c r="F70" s="298">
        <v>5.7040082585237739E-2</v>
      </c>
      <c r="G70" s="298">
        <v>1.9116049168177565E-2</v>
      </c>
      <c r="H70" s="298">
        <v>2.3564987660073828E-2</v>
      </c>
      <c r="I70" s="298">
        <v>8.5355102461392024E-3</v>
      </c>
      <c r="J70" s="298">
        <v>1.9603945043945102E-2</v>
      </c>
      <c r="K70" s="298">
        <v>1.2636657164619786E-2</v>
      </c>
      <c r="L70" s="298">
        <v>1.0643351525778579E-2</v>
      </c>
      <c r="M70" s="298">
        <v>4.3473848598230228E-3</v>
      </c>
      <c r="N70" s="298">
        <v>2.5415807506222721E-3</v>
      </c>
      <c r="O70" s="298">
        <v>1.2216655309818655E-3</v>
      </c>
      <c r="P70" s="298">
        <v>6.4595461603830819E-3</v>
      </c>
      <c r="Q70" s="298">
        <v>1.3983813924981661E-3</v>
      </c>
      <c r="R70" s="298">
        <v>3.4056178014729927E-3</v>
      </c>
      <c r="S70" s="298">
        <v>3.4056178014729927E-3</v>
      </c>
      <c r="T70" s="298">
        <v>3.4056178014729927E-3</v>
      </c>
      <c r="U70" s="298">
        <v>3.4056178014729927E-3</v>
      </c>
    </row>
    <row r="71" spans="1:21" ht="14.4" x14ac:dyDescent="0.3">
      <c r="A71" s="43">
        <v>9</v>
      </c>
      <c r="B71" s="43"/>
      <c r="C71" s="1"/>
      <c r="D71" s="298">
        <v>1.154353524821659</v>
      </c>
      <c r="E71" s="298">
        <v>3.5914593530271834</v>
      </c>
      <c r="F71" s="298">
        <v>0.66156600737101889</v>
      </c>
      <c r="G71" s="298">
        <v>0.60368769264829547</v>
      </c>
      <c r="H71" s="298">
        <v>0.42447764331950832</v>
      </c>
      <c r="I71" s="298">
        <v>1.0648962156533353</v>
      </c>
      <c r="J71" s="298">
        <v>1.5532650518305111</v>
      </c>
      <c r="K71" s="298">
        <v>0.98716445545758624</v>
      </c>
      <c r="L71" s="298">
        <v>0.68104076968532634</v>
      </c>
      <c r="M71" s="298">
        <v>0.50610374236669098</v>
      </c>
      <c r="N71" s="298">
        <v>0.31868142208094846</v>
      </c>
      <c r="O71" s="298">
        <v>0.22626624756676589</v>
      </c>
      <c r="P71" s="298">
        <v>0.1789795622711387</v>
      </c>
      <c r="Q71" s="298">
        <v>0.13966052871548112</v>
      </c>
      <c r="R71" s="298">
        <v>0.13247290047204982</v>
      </c>
      <c r="S71" s="298">
        <v>0.13247290047204982</v>
      </c>
      <c r="T71" s="298">
        <v>0.13247290047204982</v>
      </c>
      <c r="U71" s="298">
        <v>0.13247290047204982</v>
      </c>
    </row>
    <row r="72" spans="1:21" ht="14.4" x14ac:dyDescent="0.3">
      <c r="A72" s="43">
        <v>10</v>
      </c>
      <c r="B72" s="43"/>
      <c r="C72" s="1"/>
      <c r="D72" s="298">
        <v>0.2294007148283545</v>
      </c>
      <c r="E72" s="298">
        <v>4.67408371331944E-2</v>
      </c>
      <c r="F72" s="298">
        <v>3.9171017790739594E-2</v>
      </c>
      <c r="G72" s="298">
        <v>3.1896110289054799E-2</v>
      </c>
      <c r="H72" s="298">
        <v>9.7072760067846587E-3</v>
      </c>
      <c r="I72" s="298">
        <v>1.3760275349404955E-2</v>
      </c>
      <c r="J72" s="298">
        <v>1.2351163020258928E-2</v>
      </c>
      <c r="K72" s="298">
        <v>7.8770677291336265E-3</v>
      </c>
      <c r="L72" s="298">
        <v>6.6241460677741474E-3</v>
      </c>
      <c r="M72" s="298">
        <v>9.5446111698385379E-4</v>
      </c>
      <c r="N72" s="298">
        <v>5.9000829249238182E-3</v>
      </c>
      <c r="O72" s="298">
        <v>2.8410236973985879E-3</v>
      </c>
      <c r="P72" s="298">
        <v>3.0933034144878684E-3</v>
      </c>
      <c r="Q72" s="298">
        <v>1.7024651539385351E-3</v>
      </c>
      <c r="R72" s="298">
        <v>3.8405411483555876E-3</v>
      </c>
      <c r="S72" s="298">
        <v>3.8405411483555876E-3</v>
      </c>
      <c r="T72" s="298">
        <v>3.8405411483555876E-3</v>
      </c>
      <c r="U72" s="298">
        <v>3.8405411483555876E-3</v>
      </c>
    </row>
    <row r="73" spans="1:21" ht="14.4" x14ac:dyDescent="0.3">
      <c r="A73" s="43">
        <v>11</v>
      </c>
      <c r="B73" s="43"/>
      <c r="C73" s="1"/>
      <c r="D73" s="298">
        <v>69.048567707776243</v>
      </c>
      <c r="E73" s="298">
        <v>33.685348584817774</v>
      </c>
      <c r="F73" s="298">
        <v>15.583787301158949</v>
      </c>
      <c r="G73" s="298">
        <v>6.5636008603412694</v>
      </c>
      <c r="H73" s="298">
        <v>7.6797975872700235</v>
      </c>
      <c r="I73" s="298">
        <v>7.4570840283088478</v>
      </c>
      <c r="J73" s="298">
        <v>6.9055670232180777</v>
      </c>
      <c r="K73" s="298">
        <v>6.5341193000171698</v>
      </c>
      <c r="L73" s="298">
        <v>6.0786150094839924</v>
      </c>
      <c r="M73" s="298">
        <v>5.6151234987755405</v>
      </c>
      <c r="N73" s="298">
        <v>4.7731220793376856</v>
      </c>
      <c r="O73" s="298">
        <v>4.037747204995374</v>
      </c>
      <c r="P73" s="298">
        <v>3.4442053406397228</v>
      </c>
      <c r="Q73" s="298">
        <v>2.6571079286057731</v>
      </c>
      <c r="R73" s="298">
        <v>2.6319335627413896</v>
      </c>
      <c r="S73" s="298">
        <v>2.6319335627413896</v>
      </c>
      <c r="T73" s="298">
        <v>2.6319335627413896</v>
      </c>
      <c r="U73" s="298">
        <v>2.6319335627413896</v>
      </c>
    </row>
    <row r="74" spans="1:21" ht="14.4" x14ac:dyDescent="0.3">
      <c r="A74" s="43">
        <v>12</v>
      </c>
      <c r="B74" s="43"/>
      <c r="C74" s="1"/>
      <c r="D74" s="298">
        <v>4.3926126021925166E-2</v>
      </c>
      <c r="E74" s="298">
        <v>1.2877494467594758E-2</v>
      </c>
      <c r="F74" s="298">
        <v>4.5954157397374695E-3</v>
      </c>
      <c r="G74" s="298">
        <v>5.329225146697902E-3</v>
      </c>
      <c r="H74" s="298">
        <v>1.7455825337836627E-3</v>
      </c>
      <c r="I74" s="298">
        <v>6.1922252654432195E-3</v>
      </c>
      <c r="J74" s="298">
        <v>4.6340307760456886E-3</v>
      </c>
      <c r="K74" s="298">
        <v>1.2658928420938899E-3</v>
      </c>
      <c r="L74" s="298">
        <v>7.2345470714335765E-4</v>
      </c>
      <c r="M74" s="298">
        <v>2.8137542278655172E-3</v>
      </c>
      <c r="N74" s="298">
        <v>3.3387817150023614E-3</v>
      </c>
      <c r="O74" s="298">
        <v>7.0415228820549169E-4</v>
      </c>
      <c r="P74" s="298">
        <v>3.2866827675993235E-3</v>
      </c>
      <c r="Q74" s="298">
        <v>2.129932191298423E-3</v>
      </c>
      <c r="R74" s="298">
        <v>3.0726078205235829E-3</v>
      </c>
      <c r="S74" s="298">
        <v>3.0726078205235829E-3</v>
      </c>
      <c r="T74" s="298">
        <v>3.0726078205235829E-3</v>
      </c>
      <c r="U74" s="298">
        <v>3.0726078205235829E-3</v>
      </c>
    </row>
    <row r="75" spans="1:21" ht="14.4" x14ac:dyDescent="0.3">
      <c r="A75" s="43">
        <v>13</v>
      </c>
      <c r="B75" s="43"/>
      <c r="C75" s="1"/>
      <c r="D75" s="298">
        <v>57.626071680473594</v>
      </c>
      <c r="E75" s="298">
        <v>19.008833408591933</v>
      </c>
      <c r="F75" s="298">
        <v>6.0811074483745449</v>
      </c>
      <c r="G75" s="298">
        <v>6.4203508662030933</v>
      </c>
      <c r="H75" s="298">
        <v>4.053836065316168</v>
      </c>
      <c r="I75" s="298">
        <v>3.136813925533426</v>
      </c>
      <c r="J75" s="298">
        <v>3.2687886565984781</v>
      </c>
      <c r="K75" s="298">
        <v>3.1927019928471165</v>
      </c>
      <c r="L75" s="298">
        <v>3.1590323561450395</v>
      </c>
      <c r="M75" s="298">
        <v>3.1114405010378423</v>
      </c>
      <c r="N75" s="298">
        <v>2.9413990501469054</v>
      </c>
      <c r="O75" s="298">
        <v>2.6891381919916104</v>
      </c>
      <c r="P75" s="298">
        <v>2.4129113867682368</v>
      </c>
      <c r="Q75" s="298">
        <v>1.9019132140355048</v>
      </c>
      <c r="R75" s="298">
        <v>1.9731316672454773</v>
      </c>
      <c r="S75" s="298">
        <v>1.9731316672454773</v>
      </c>
      <c r="T75" s="298">
        <v>1.9731316672454773</v>
      </c>
      <c r="U75" s="298">
        <v>1.9731316672454773</v>
      </c>
    </row>
    <row r="76" spans="1:21" ht="14.4" x14ac:dyDescent="0.3">
      <c r="A76" s="43">
        <v>14</v>
      </c>
      <c r="B76" s="43"/>
      <c r="C76" s="1"/>
      <c r="D76" s="298">
        <v>0.20927403927484672</v>
      </c>
      <c r="E76" s="298">
        <v>5.5602611265487843E-2</v>
      </c>
      <c r="F76" s="298">
        <v>4.0150680983375708E-2</v>
      </c>
      <c r="G76" s="298">
        <v>1.1364022598705132E-2</v>
      </c>
      <c r="H76" s="298">
        <v>1.5808693433503308E-2</v>
      </c>
      <c r="I76" s="298">
        <v>1.1300571663228018E-2</v>
      </c>
      <c r="J76" s="298">
        <v>1.3986444352451872E-2</v>
      </c>
      <c r="K76" s="298">
        <v>1.3726550136797936E-2</v>
      </c>
      <c r="L76" s="298">
        <v>1.2922710779955417E-2</v>
      </c>
      <c r="M76" s="298">
        <v>6.7573395777536377E-3</v>
      </c>
      <c r="N76" s="298">
        <v>6.0541163970223889E-3</v>
      </c>
      <c r="O76" s="298">
        <v>8.8566143641728831E-4</v>
      </c>
      <c r="P76" s="298">
        <v>4.5856434142929501E-3</v>
      </c>
      <c r="Q76" s="298">
        <v>2.3769049086772155E-3</v>
      </c>
      <c r="R76" s="298">
        <v>2.1687917940923906E-3</v>
      </c>
      <c r="S76" s="298">
        <v>2.1687917940923906E-3</v>
      </c>
      <c r="T76" s="298">
        <v>2.1687917940923906E-3</v>
      </c>
      <c r="U76" s="298">
        <v>2.1687917940923906E-3</v>
      </c>
    </row>
    <row r="77" spans="1:21" ht="14.4" x14ac:dyDescent="0.3">
      <c r="A77" s="43">
        <v>15</v>
      </c>
      <c r="B77" s="43"/>
      <c r="C77" s="1"/>
      <c r="D77" s="298">
        <v>1.136851568371505</v>
      </c>
      <c r="E77" s="298">
        <v>0.23095610968918576</v>
      </c>
      <c r="F77" s="298">
        <v>0.45935010470309795</v>
      </c>
      <c r="G77" s="298">
        <v>0.33979479464125767</v>
      </c>
      <c r="H77" s="298">
        <v>0.19877874639876153</v>
      </c>
      <c r="I77" s="298">
        <v>0.6117370588990978</v>
      </c>
      <c r="J77" s="298">
        <v>0.7739736036483279</v>
      </c>
      <c r="K77" s="298">
        <v>0.47689818111624066</v>
      </c>
      <c r="L77" s="298">
        <v>0.32445444976062632</v>
      </c>
      <c r="M77" s="298">
        <v>0.24590737646040681</v>
      </c>
      <c r="N77" s="298">
        <v>0.17863761703347875</v>
      </c>
      <c r="O77" s="298">
        <v>0.15238590146764369</v>
      </c>
      <c r="P77" s="298">
        <v>0.13879587874692803</v>
      </c>
      <c r="Q77" s="298">
        <v>0.10849930149243135</v>
      </c>
      <c r="R77" s="298">
        <v>0.10438708261063094</v>
      </c>
      <c r="S77" s="298">
        <v>0.10438708261063094</v>
      </c>
      <c r="T77" s="298">
        <v>0.10438708261063094</v>
      </c>
      <c r="U77" s="298">
        <v>0.10438708261063094</v>
      </c>
    </row>
    <row r="78" spans="1:21" ht="14.4" x14ac:dyDescent="0.3">
      <c r="A78" s="43">
        <v>16</v>
      </c>
      <c r="B78" s="43"/>
      <c r="C78" s="1"/>
      <c r="D78" s="298">
        <v>0.21260480542905863</v>
      </c>
      <c r="E78" s="298">
        <v>5.5251059810874539E-2</v>
      </c>
      <c r="F78" s="298">
        <v>2.9549060045343564E-2</v>
      </c>
      <c r="G78" s="298">
        <v>1.9149260351853523E-2</v>
      </c>
      <c r="H78" s="298">
        <v>8.8894084206710914E-3</v>
      </c>
      <c r="I78" s="298">
        <v>9.8004503653837914E-3</v>
      </c>
      <c r="J78" s="298">
        <v>9.3355107602731344E-3</v>
      </c>
      <c r="K78" s="298">
        <v>1.1176506405604431E-2</v>
      </c>
      <c r="L78" s="298">
        <v>1.0797812516310075E-2</v>
      </c>
      <c r="M78" s="298">
        <v>4.9258459762198314E-3</v>
      </c>
      <c r="N78" s="298">
        <v>1.5412362332936629E-3</v>
      </c>
      <c r="O78" s="298">
        <v>1.7707278526791228E-3</v>
      </c>
      <c r="P78" s="298">
        <v>3.8905467511792919E-3</v>
      </c>
      <c r="Q78" s="298">
        <v>3.1270051788819786E-3</v>
      </c>
      <c r="R78" s="298">
        <v>2.7546885466757905E-3</v>
      </c>
      <c r="S78" s="298">
        <v>2.7546885466757905E-3</v>
      </c>
      <c r="T78" s="298">
        <v>2.7546885466757905E-3</v>
      </c>
      <c r="U78" s="298">
        <v>2.7546885466757905E-3</v>
      </c>
    </row>
    <row r="79" spans="1:21" ht="14.4" x14ac:dyDescent="0.3">
      <c r="A79" s="43">
        <v>17</v>
      </c>
      <c r="B79" s="43"/>
      <c r="C79" s="1"/>
      <c r="D79" s="299">
        <v>38.305868434141544</v>
      </c>
      <c r="E79" s="298">
        <v>5.2999903687276673</v>
      </c>
      <c r="F79" s="298">
        <v>6.2578007441416821</v>
      </c>
      <c r="G79" s="299">
        <v>3.651615692351549</v>
      </c>
      <c r="H79" s="299">
        <v>3.9361368606820331</v>
      </c>
      <c r="I79" s="299">
        <v>3.5365888642625669</v>
      </c>
      <c r="J79" s="298">
        <v>2.7954962272937816</v>
      </c>
      <c r="K79" s="298">
        <v>2.4617473384512585</v>
      </c>
      <c r="L79" s="298">
        <v>2.1281057585635259</v>
      </c>
      <c r="M79" s="298">
        <v>1.850567348179557</v>
      </c>
      <c r="N79" s="299">
        <v>1.5324828885585096</v>
      </c>
      <c r="O79" s="298">
        <v>1.4251739565426205</v>
      </c>
      <c r="P79" s="298">
        <v>1.4117622874341469</v>
      </c>
      <c r="Q79" s="298">
        <v>1.3485789449567889</v>
      </c>
      <c r="R79" s="298">
        <v>1.3516864824509252</v>
      </c>
      <c r="S79" s="298">
        <v>1.3516864824509252</v>
      </c>
      <c r="T79" s="298">
        <v>1.3516864824509252</v>
      </c>
      <c r="U79" s="298">
        <v>1.3516864824509252</v>
      </c>
    </row>
    <row r="80" spans="1:21" ht="14.4" x14ac:dyDescent="0.3">
      <c r="A80" s="43">
        <v>18</v>
      </c>
      <c r="B80" s="43"/>
      <c r="C80" s="1"/>
      <c r="D80" s="298">
        <v>6.8073317161051342E-3</v>
      </c>
      <c r="E80" s="298">
        <v>4.4855023970696963E-3</v>
      </c>
      <c r="F80" s="298">
        <v>3.7080452251308581E-3</v>
      </c>
      <c r="G80" s="298">
        <v>4.1891794258732719E-3</v>
      </c>
      <c r="H80" s="298">
        <v>2.5800652861531514E-3</v>
      </c>
      <c r="I80" s="298">
        <v>5.1323452366736095E-3</v>
      </c>
      <c r="J80" s="298">
        <v>3.2624660891922676E-3</v>
      </c>
      <c r="K80" s="298">
        <v>9.7248963017647263E-4</v>
      </c>
      <c r="L80" s="298">
        <v>5.3824967182370125E-4</v>
      </c>
      <c r="M80" s="298">
        <v>3.4207800467921257E-3</v>
      </c>
      <c r="N80" s="298">
        <v>2.3022193218101682E-3</v>
      </c>
      <c r="O80" s="298">
        <v>7.1766985210155283E-4</v>
      </c>
      <c r="P80" s="298">
        <v>1.6747979107749516E-3</v>
      </c>
      <c r="Q80" s="298">
        <v>1.0243399597807483E-3</v>
      </c>
      <c r="R80" s="298">
        <v>2.7645882744071495E-3</v>
      </c>
      <c r="S80" s="298">
        <v>2.7645882744071495E-3</v>
      </c>
      <c r="T80" s="298">
        <v>2.7645882744071495E-3</v>
      </c>
      <c r="U80" s="298">
        <v>2.7645882744071495E-3</v>
      </c>
    </row>
    <row r="81" spans="1:21" ht="14.4" x14ac:dyDescent="0.3">
      <c r="A81" s="43">
        <v>19</v>
      </c>
      <c r="B81" s="43"/>
      <c r="C81" s="1"/>
      <c r="D81" s="298">
        <v>28.12675018493254</v>
      </c>
      <c r="E81" s="298">
        <v>5.7694235730205383</v>
      </c>
      <c r="F81" s="298">
        <v>4.4923444139523241</v>
      </c>
      <c r="G81" s="298">
        <v>2.461818140179882</v>
      </c>
      <c r="H81" s="298">
        <v>1.5612033953483941</v>
      </c>
      <c r="I81" s="298">
        <v>1.435344927819425</v>
      </c>
      <c r="J81" s="298">
        <v>1.8152549557696753</v>
      </c>
      <c r="K81" s="298">
        <v>1.7533389509717254</v>
      </c>
      <c r="L81" s="298">
        <v>1.6441205577377018</v>
      </c>
      <c r="M81" s="298">
        <v>1.5015094716885002</v>
      </c>
      <c r="N81" s="298">
        <v>1.1978760529333901</v>
      </c>
      <c r="O81" s="298">
        <v>0.96493434637770215</v>
      </c>
      <c r="P81" s="298">
        <v>0.86230538911097832</v>
      </c>
      <c r="Q81" s="298">
        <v>0.87143134542122158</v>
      </c>
      <c r="R81" s="298">
        <v>0.89423887387252965</v>
      </c>
      <c r="S81" s="298">
        <v>0.89423887387252965</v>
      </c>
      <c r="T81" s="298">
        <v>0.89423887387252965</v>
      </c>
      <c r="U81" s="298">
        <v>0.89423887387252965</v>
      </c>
    </row>
    <row r="82" spans="1:21" ht="14.4" x14ac:dyDescent="0.3">
      <c r="A82" s="43">
        <v>20</v>
      </c>
      <c r="B82" s="43"/>
      <c r="C82" s="1"/>
      <c r="D82" s="298">
        <v>0.16228025606892954</v>
      </c>
      <c r="E82" s="298">
        <v>3.4304595434386999E-2</v>
      </c>
      <c r="F82" s="298">
        <v>3.603503131369204E-2</v>
      </c>
      <c r="G82" s="298">
        <v>1.3414457398225953E-2</v>
      </c>
      <c r="H82" s="298">
        <v>1.3820648138552563E-2</v>
      </c>
      <c r="I82" s="298">
        <v>1.2553645285502412E-2</v>
      </c>
      <c r="J82" s="298">
        <v>1.1519216055600136E-2</v>
      </c>
      <c r="K82" s="298">
        <v>1.2482583619361326E-2</v>
      </c>
      <c r="L82" s="298">
        <v>1.0659586926913772E-2</v>
      </c>
      <c r="M82" s="298">
        <v>3.9990621565117561E-3</v>
      </c>
      <c r="N82" s="298">
        <v>4.289924599988241E-3</v>
      </c>
      <c r="O82" s="298">
        <v>2.3631359410929234E-3</v>
      </c>
      <c r="P82" s="298">
        <v>2.0372139828744758E-3</v>
      </c>
      <c r="Q82" s="298">
        <v>2.6099379219788315E-3</v>
      </c>
      <c r="R82" s="298">
        <v>3.3164014470484933E-3</v>
      </c>
      <c r="S82" s="298">
        <v>3.3164014470484933E-3</v>
      </c>
      <c r="T82" s="298">
        <v>3.3164014470484933E-3</v>
      </c>
      <c r="U82" s="298">
        <v>3.3164014470484933E-3</v>
      </c>
    </row>
    <row r="83" spans="1:21" ht="14.4" x14ac:dyDescent="0.3">
      <c r="A83" s="43">
        <v>21</v>
      </c>
      <c r="B83" s="43"/>
      <c r="C83" s="1"/>
      <c r="D83" s="298">
        <v>0.62329316321319206</v>
      </c>
      <c r="E83" s="298">
        <v>0.38652912360520963</v>
      </c>
      <c r="F83" s="298">
        <v>0.28848587809075404</v>
      </c>
      <c r="G83" s="298">
        <v>0.2327624797312611</v>
      </c>
      <c r="H83" s="298">
        <v>0.12695962714013889</v>
      </c>
      <c r="I83" s="298">
        <v>0.43156831387325317</v>
      </c>
      <c r="J83" s="298">
        <v>0.51232861946084751</v>
      </c>
      <c r="K83" s="298">
        <v>0.33639919482821595</v>
      </c>
      <c r="L83" s="298">
        <v>0.24976274080004948</v>
      </c>
      <c r="M83" s="298">
        <v>0.20143664947276263</v>
      </c>
      <c r="N83" s="298">
        <v>0.14886071320433725</v>
      </c>
      <c r="O83" s="298">
        <v>0.11057082122039739</v>
      </c>
      <c r="P83" s="298">
        <v>8.69095877563483E-2</v>
      </c>
      <c r="Q83" s="298">
        <v>6.469840401868561E-2</v>
      </c>
      <c r="R83" s="298">
        <v>6.207334554446476E-2</v>
      </c>
      <c r="S83" s="298">
        <v>6.207334554446476E-2</v>
      </c>
      <c r="T83" s="298">
        <v>6.207334554446476E-2</v>
      </c>
      <c r="U83" s="298">
        <v>6.207334554446476E-2</v>
      </c>
    </row>
    <row r="84" spans="1:21" ht="14.4" x14ac:dyDescent="0.3">
      <c r="A84" s="43">
        <v>22</v>
      </c>
      <c r="B84" s="43"/>
      <c r="C84" s="1"/>
      <c r="D84" s="298">
        <v>0.10196628651957353</v>
      </c>
      <c r="E84" s="298">
        <v>3.8702088424270906E-2</v>
      </c>
      <c r="F84" s="298">
        <v>3.2940823141321553E-2</v>
      </c>
      <c r="G84" s="298">
        <v>1.4397088226243407E-2</v>
      </c>
      <c r="H84" s="298">
        <v>8.0433131135157904E-3</v>
      </c>
      <c r="I84" s="298">
        <v>9.1411482785596215E-3</v>
      </c>
      <c r="J84" s="298">
        <v>1.3328297513609087E-2</v>
      </c>
      <c r="K84" s="298">
        <v>9.9334339431091864E-3</v>
      </c>
      <c r="L84" s="298">
        <v>8.7776949548354632E-3</v>
      </c>
      <c r="M84" s="298">
        <v>2.8422690440152187E-3</v>
      </c>
      <c r="N84" s="298">
        <v>1.7693174251628295E-3</v>
      </c>
      <c r="O84" s="298">
        <v>2.3683965026528521E-3</v>
      </c>
      <c r="P84" s="298">
        <v>2.2687748359132434E-3</v>
      </c>
      <c r="Q84" s="298">
        <v>3.2956893394252857E-3</v>
      </c>
      <c r="R84" s="298">
        <v>3.1845733198832878E-3</v>
      </c>
      <c r="S84" s="298">
        <v>3.1845733198832878E-3</v>
      </c>
      <c r="T84" s="298">
        <v>3.1845733198832878E-3</v>
      </c>
      <c r="U84" s="298">
        <v>3.1845733198832878E-3</v>
      </c>
    </row>
    <row r="85" spans="1:21" ht="14.4" x14ac:dyDescent="0.3">
      <c r="A85" s="43">
        <v>23</v>
      </c>
      <c r="B85" s="43"/>
      <c r="C85" s="1"/>
      <c r="D85" s="298">
        <v>14.111336248333169</v>
      </c>
      <c r="E85" s="298">
        <v>4.5502762773923147</v>
      </c>
      <c r="F85" s="298">
        <v>2.8173069900787024</v>
      </c>
      <c r="G85" s="298">
        <v>2.0670952688936821</v>
      </c>
      <c r="H85" s="298">
        <v>2.2928087910650583</v>
      </c>
      <c r="I85" s="298">
        <v>1.9472020944612196</v>
      </c>
      <c r="J85" s="298">
        <v>1.3645089433593613</v>
      </c>
      <c r="K85" s="298">
        <v>1.1709027163413299</v>
      </c>
      <c r="L85" s="298">
        <v>1.0449622436221531</v>
      </c>
      <c r="M85" s="298">
        <v>0.98668776275695924</v>
      </c>
      <c r="N85" s="298">
        <v>0.97151910927620677</v>
      </c>
      <c r="O85" s="298">
        <v>0.91499109629030073</v>
      </c>
      <c r="P85" s="298">
        <v>0.81941237005377587</v>
      </c>
      <c r="Q85" s="298">
        <v>0.64151011524075341</v>
      </c>
      <c r="R85" s="298">
        <v>0.64347399672352978</v>
      </c>
      <c r="S85" s="298">
        <v>0.64347399672352978</v>
      </c>
      <c r="T85" s="298">
        <v>0.64347399672352978</v>
      </c>
      <c r="U85" s="298">
        <v>0.64347399672352978</v>
      </c>
    </row>
    <row r="86" spans="1:21" ht="14.4" x14ac:dyDescent="0.3">
      <c r="A86" s="43">
        <v>24</v>
      </c>
      <c r="B86" s="43"/>
      <c r="C86" s="1"/>
      <c r="D86" s="298">
        <v>3.6824454901743818E-2</v>
      </c>
      <c r="E86" s="298">
        <v>9.8382681602157043E-3</v>
      </c>
      <c r="F86" s="298">
        <v>2.4869442257516557E-3</v>
      </c>
      <c r="G86" s="298">
        <v>3.7823320015961076E-3</v>
      </c>
      <c r="H86" s="298">
        <v>3.0035667733548503E-3</v>
      </c>
      <c r="I86" s="298">
        <v>5.3235417328994826E-3</v>
      </c>
      <c r="J86" s="298">
        <v>5.8116700278296428E-3</v>
      </c>
      <c r="K86" s="298">
        <v>2.9855222275943743E-3</v>
      </c>
      <c r="L86" s="298">
        <v>2.3272957918215429E-3</v>
      </c>
      <c r="M86" s="298">
        <v>3.1075268606800422E-3</v>
      </c>
      <c r="N86" s="298">
        <v>1.6642059470906843E-3</v>
      </c>
      <c r="O86" s="298">
        <v>5.0465814106315395E-4</v>
      </c>
      <c r="P86" s="298">
        <v>2.4652728971896356E-3</v>
      </c>
      <c r="Q86" s="298">
        <v>5.6815989694872823E-4</v>
      </c>
      <c r="R86" s="298">
        <v>2.910084521893625E-3</v>
      </c>
      <c r="S86" s="298">
        <v>2.910084521893625E-3</v>
      </c>
      <c r="T86" s="298">
        <v>2.910084521893625E-3</v>
      </c>
      <c r="U86" s="298">
        <v>2.910084521893625E-3</v>
      </c>
    </row>
    <row r="87" spans="1:21" ht="14.4" x14ac:dyDescent="0.3">
      <c r="A87" s="43">
        <v>25</v>
      </c>
      <c r="B87" s="43"/>
      <c r="C87" s="1"/>
      <c r="D87" s="298">
        <v>9.1460847189836905</v>
      </c>
      <c r="E87" s="298">
        <v>3.3287755929835949</v>
      </c>
      <c r="F87" s="298">
        <v>2.4769082641614584</v>
      </c>
      <c r="G87" s="298">
        <v>1.4065816239828657</v>
      </c>
      <c r="H87" s="298">
        <v>0.9812541545579192</v>
      </c>
      <c r="I87" s="298">
        <v>0.87516515937476913</v>
      </c>
      <c r="J87" s="298">
        <v>1.0203047520164361</v>
      </c>
      <c r="K87" s="298">
        <v>0.89181945133108653</v>
      </c>
      <c r="L87" s="298">
        <v>0.77335390981045959</v>
      </c>
      <c r="M87" s="298">
        <v>0.680943962179267</v>
      </c>
      <c r="N87" s="298">
        <v>0.60410783726699213</v>
      </c>
      <c r="O87" s="298">
        <v>0.59625159344747769</v>
      </c>
      <c r="P87" s="298">
        <v>0.57911197721694829</v>
      </c>
      <c r="Q87" s="298">
        <v>0.47588131924725879</v>
      </c>
      <c r="R87" s="298">
        <v>0.48332856078705327</v>
      </c>
      <c r="S87" s="298">
        <v>0.48332856078705327</v>
      </c>
      <c r="T87" s="298">
        <v>0.48332856078705327</v>
      </c>
      <c r="U87" s="298">
        <v>0.48332856078705327</v>
      </c>
    </row>
    <row r="88" spans="1:21" ht="14.4" x14ac:dyDescent="0.3">
      <c r="A88" s="43">
        <v>26</v>
      </c>
      <c r="B88" s="43"/>
      <c r="C88" s="1"/>
      <c r="D88" s="298">
        <v>5.0821504219815294E-2</v>
      </c>
      <c r="E88" s="298">
        <v>5.5062549483802257E-2</v>
      </c>
      <c r="F88" s="298">
        <v>2.6569838221547654E-2</v>
      </c>
      <c r="G88" s="298">
        <v>1.7180710354120391E-2</v>
      </c>
      <c r="H88" s="298">
        <v>1.4413765296386657E-2</v>
      </c>
      <c r="I88" s="298">
        <v>1.340051166752103E-2</v>
      </c>
      <c r="J88" s="298">
        <v>1.2261667576280695E-2</v>
      </c>
      <c r="K88" s="298">
        <v>1.1494261330574136E-2</v>
      </c>
      <c r="L88" s="298">
        <v>1.1502164549246671E-2</v>
      </c>
      <c r="M88" s="298">
        <v>6.3586835670058186E-3</v>
      </c>
      <c r="N88" s="298">
        <v>5.7283366829020497E-3</v>
      </c>
      <c r="O88" s="298">
        <v>1.4156391535011382E-3</v>
      </c>
      <c r="P88" s="298">
        <v>2.35923526977449E-3</v>
      </c>
      <c r="Q88" s="298">
        <v>3.048115692564884E-3</v>
      </c>
      <c r="R88" s="298">
        <v>2.505817916151253E-3</v>
      </c>
      <c r="S88" s="298">
        <v>2.505817916151253E-3</v>
      </c>
      <c r="T88" s="298">
        <v>2.505817916151253E-3</v>
      </c>
      <c r="U88" s="298">
        <v>2.505817916151253E-3</v>
      </c>
    </row>
    <row r="89" spans="1:21" ht="14.4" x14ac:dyDescent="0.3">
      <c r="A89" s="43">
        <v>27</v>
      </c>
      <c r="B89" s="43"/>
      <c r="C89" s="1"/>
      <c r="D89" s="298">
        <v>0.21238680360962095</v>
      </c>
      <c r="E89" s="298">
        <v>0.25707405179893289</v>
      </c>
      <c r="F89" s="298">
        <v>0.16073741316951387</v>
      </c>
      <c r="G89" s="298">
        <v>0.17380962651022741</v>
      </c>
      <c r="H89" s="298">
        <v>9.1193806224074303E-2</v>
      </c>
      <c r="I89" s="298">
        <v>0.33088372878460953</v>
      </c>
      <c r="J89" s="298">
        <v>0.40809218499146371</v>
      </c>
      <c r="K89" s="298">
        <v>0.28326195110267732</v>
      </c>
      <c r="L89" s="298">
        <v>0.20563582476045428</v>
      </c>
      <c r="M89" s="298">
        <v>0.15760505021576746</v>
      </c>
      <c r="N89" s="298">
        <v>9.9377043514666238E-2</v>
      </c>
      <c r="O89" s="298">
        <v>7.5391622206023953E-2</v>
      </c>
      <c r="P89" s="298">
        <v>6.8011485955306775E-2</v>
      </c>
      <c r="Q89" s="298">
        <v>5.56664765461901E-2</v>
      </c>
      <c r="R89" s="298">
        <v>5.3354821022066533E-2</v>
      </c>
      <c r="S89" s="298">
        <v>5.3354821022066533E-2</v>
      </c>
      <c r="T89" s="298">
        <v>5.3354821022066533E-2</v>
      </c>
      <c r="U89" s="298">
        <v>5.3354821022066533E-2</v>
      </c>
    </row>
    <row r="90" spans="1:21" ht="14.4" x14ac:dyDescent="0.3">
      <c r="A90" s="43">
        <v>28</v>
      </c>
      <c r="B90" s="43"/>
      <c r="C90" s="1"/>
      <c r="D90" s="298">
        <v>1.9392625777396737E-2</v>
      </c>
      <c r="E90" s="298">
        <v>4.7102518518670457E-2</v>
      </c>
      <c r="F90" s="298">
        <v>2.8971418661601897E-2</v>
      </c>
      <c r="G90" s="298">
        <v>1.1872541264805246E-2</v>
      </c>
      <c r="H90" s="298">
        <v>6.9611130983163278E-3</v>
      </c>
      <c r="I90" s="298">
        <v>8.5362681900183323E-3</v>
      </c>
      <c r="J90" s="298">
        <v>1.2556658041302614E-2</v>
      </c>
      <c r="K90" s="298">
        <v>1.0537656791068419E-2</v>
      </c>
      <c r="L90" s="298">
        <v>9.2930775732190107E-3</v>
      </c>
      <c r="M90" s="298">
        <v>3.3090135809581808E-3</v>
      </c>
      <c r="N90" s="298">
        <v>8.4429509332862738E-4</v>
      </c>
      <c r="O90" s="298">
        <v>1.7536756837702497E-3</v>
      </c>
      <c r="P90" s="298">
        <v>1.2486380283558422E-3</v>
      </c>
      <c r="Q90" s="298">
        <v>3.2293207653354824E-3</v>
      </c>
      <c r="R90" s="298">
        <v>2.7333925969108054E-3</v>
      </c>
      <c r="S90" s="298">
        <v>2.7333925969108054E-3</v>
      </c>
      <c r="T90" s="298">
        <v>2.7333925969108054E-3</v>
      </c>
      <c r="U90" s="298">
        <v>2.7333925969108054E-3</v>
      </c>
    </row>
    <row r="91" spans="1:21" ht="14.4" x14ac:dyDescent="0.3">
      <c r="A91" s="43">
        <v>29</v>
      </c>
      <c r="B91" s="43"/>
      <c r="C91" s="1"/>
      <c r="D91" s="298">
        <v>6.5146861253923207</v>
      </c>
      <c r="E91" s="298">
        <v>2.6788137999966111</v>
      </c>
      <c r="F91" s="298">
        <v>1.6106667515221753</v>
      </c>
      <c r="G91" s="298">
        <v>1.3975423047728013</v>
      </c>
      <c r="H91" s="298">
        <v>1.3999934630363924</v>
      </c>
      <c r="I91" s="298">
        <v>1.0907850218496227</v>
      </c>
      <c r="J91" s="298">
        <v>0.75870567381450926</v>
      </c>
      <c r="K91" s="298">
        <v>0.75678843679568575</v>
      </c>
      <c r="L91" s="298">
        <v>0.75575983296320848</v>
      </c>
      <c r="M91" s="298">
        <v>0.72478506133268517</v>
      </c>
      <c r="N91" s="298">
        <v>0.61840577400138186</v>
      </c>
      <c r="O91" s="298">
        <v>0.50578743449988961</v>
      </c>
      <c r="P91" s="298">
        <v>0.46727025134098182</v>
      </c>
      <c r="Q91" s="298">
        <v>0.45386743782930422</v>
      </c>
      <c r="R91" s="298">
        <v>0.4514293951690499</v>
      </c>
      <c r="S91" s="298">
        <v>0.4514293951690499</v>
      </c>
      <c r="T91" s="298">
        <v>0.4514293951690499</v>
      </c>
      <c r="U91" s="298">
        <v>0.4514293951690499</v>
      </c>
    </row>
    <row r="92" spans="1:21" ht="14.4" x14ac:dyDescent="0.3">
      <c r="A92" s="43">
        <v>30</v>
      </c>
      <c r="B92" s="43"/>
      <c r="C92" s="1"/>
      <c r="D92" s="298">
        <v>3.4884370898550648E-2</v>
      </c>
      <c r="E92" s="298">
        <v>4.1765772225850796E-3</v>
      </c>
      <c r="F92" s="298">
        <v>3.1945642193693534E-3</v>
      </c>
      <c r="G92" s="298">
        <v>3.60287707209932E-3</v>
      </c>
      <c r="H92" s="298">
        <v>3.2920300374340902E-3</v>
      </c>
      <c r="I92" s="298">
        <v>5.0314868423076246E-3</v>
      </c>
      <c r="J92" s="298">
        <v>4.6053075814346854E-3</v>
      </c>
      <c r="K92" s="298">
        <v>3.6991571943863818E-3</v>
      </c>
      <c r="L92" s="298">
        <v>1.9564019833816105E-3</v>
      </c>
      <c r="M92" s="298">
        <v>2.8717553777810353E-3</v>
      </c>
      <c r="N92" s="298">
        <v>2.6821760992090326E-3</v>
      </c>
      <c r="O92" s="298">
        <v>5.3985110846739104E-4</v>
      </c>
      <c r="P92" s="298">
        <v>8.6189772740157076E-4</v>
      </c>
      <c r="Q92" s="298">
        <v>7.0587971191137216E-4</v>
      </c>
      <c r="R92" s="298">
        <v>2.5967183728580682E-3</v>
      </c>
      <c r="S92" s="298">
        <v>2.5967183728580682E-3</v>
      </c>
      <c r="T92" s="298">
        <v>2.5967183728580682E-3</v>
      </c>
      <c r="U92" s="298">
        <v>2.5967183728580682E-3</v>
      </c>
    </row>
    <row r="93" spans="1:21" ht="14.4" x14ac:dyDescent="0.3">
      <c r="A93" s="43">
        <v>31</v>
      </c>
      <c r="B93" s="43"/>
      <c r="C93" s="1"/>
      <c r="D93" s="298">
        <v>6.3339107327432735</v>
      </c>
      <c r="E93" s="298">
        <v>2.4858685050570775</v>
      </c>
      <c r="F93" s="298">
        <v>1.4322222537619056</v>
      </c>
      <c r="G93" s="298">
        <v>0.82280279165842463</v>
      </c>
      <c r="H93" s="298">
        <v>0.68512353629472578</v>
      </c>
      <c r="I93" s="298">
        <v>0.58112005814292844</v>
      </c>
      <c r="J93" s="298">
        <v>0.56772740214173922</v>
      </c>
      <c r="K93" s="298">
        <v>0.46221863452787271</v>
      </c>
      <c r="L93" s="298">
        <v>0.42486576546865334</v>
      </c>
      <c r="M93" s="298">
        <v>0.43056874893088998</v>
      </c>
      <c r="N93" s="298">
        <v>0.43268010175951643</v>
      </c>
      <c r="O93" s="298">
        <v>0.37617527613812002</v>
      </c>
      <c r="P93" s="298">
        <v>0.31678577460681751</v>
      </c>
      <c r="Q93" s="298">
        <v>0.30877008317967913</v>
      </c>
      <c r="R93" s="298">
        <v>0.3120658886678041</v>
      </c>
      <c r="S93" s="298">
        <v>0.3120658886678041</v>
      </c>
      <c r="T93" s="298">
        <v>0.3120658886678041</v>
      </c>
      <c r="U93" s="298">
        <v>0.3120658886678041</v>
      </c>
    </row>
    <row r="94" spans="1:21" ht="14.4" x14ac:dyDescent="0.3">
      <c r="A94" s="43">
        <v>32</v>
      </c>
      <c r="B94" s="43"/>
      <c r="C94" s="1"/>
      <c r="D94" s="298">
        <v>4.6506205535545839E-2</v>
      </c>
      <c r="E94" s="298">
        <v>3.3260518350729629E-2</v>
      </c>
      <c r="F94" s="298">
        <v>2.9586195514357663E-2</v>
      </c>
      <c r="G94" s="298">
        <v>1.9535797704362808E-2</v>
      </c>
      <c r="H94" s="298">
        <v>1.4563606306652922E-2</v>
      </c>
      <c r="I94" s="298">
        <v>1.305927336868163E-2</v>
      </c>
      <c r="J94" s="298">
        <v>8.8970610246392086E-3</v>
      </c>
      <c r="K94" s="298">
        <v>1.1901375104307985E-2</v>
      </c>
      <c r="L94" s="298">
        <v>1.1921658515740853E-2</v>
      </c>
      <c r="M94" s="298">
        <v>5.9187663071225798E-3</v>
      </c>
      <c r="N94" s="298">
        <v>4.587462629749072E-3</v>
      </c>
      <c r="O94" s="298">
        <v>1.2699646308248702E-3</v>
      </c>
      <c r="P94" s="298">
        <v>2.2444292602197963E-3</v>
      </c>
      <c r="Q94" s="298">
        <v>2.8384966763810126E-3</v>
      </c>
      <c r="R94" s="298">
        <v>2.9287371239286731E-3</v>
      </c>
      <c r="S94" s="298">
        <v>2.9287371239286731E-3</v>
      </c>
      <c r="T94" s="298">
        <v>2.9287371239286731E-3</v>
      </c>
      <c r="U94" s="298">
        <v>2.9287371239286731E-3</v>
      </c>
    </row>
    <row r="95" spans="1:21" ht="14.4" x14ac:dyDescent="0.3">
      <c r="A95" s="43">
        <v>33</v>
      </c>
      <c r="B95" s="43"/>
      <c r="C95" s="1"/>
      <c r="D95" s="298">
        <v>0.30274927892914244</v>
      </c>
      <c r="E95" s="298">
        <v>1.7216657169820748E-2</v>
      </c>
      <c r="F95" s="298">
        <v>0.12233571605865014</v>
      </c>
      <c r="G95" s="298">
        <v>0.13605621192601108</v>
      </c>
      <c r="H95" s="298">
        <v>7.0763148414675126E-2</v>
      </c>
      <c r="I95" s="298">
        <v>0.26563628264177047</v>
      </c>
      <c r="J95" s="298">
        <v>0.34165566585023771</v>
      </c>
      <c r="K95" s="298">
        <v>0.22742267911109676</v>
      </c>
      <c r="L95" s="298">
        <v>0.15381673439332844</v>
      </c>
      <c r="M95" s="298">
        <v>0.11558930646976719</v>
      </c>
      <c r="N95" s="298">
        <v>8.4151409301761251E-2</v>
      </c>
      <c r="O95" s="298">
        <v>6.7503639523961864E-2</v>
      </c>
      <c r="P95" s="298">
        <v>5.6413371607669127E-2</v>
      </c>
      <c r="Q95" s="298">
        <v>4.1647697018963321E-2</v>
      </c>
      <c r="R95" s="298">
        <v>3.9799798597555773E-2</v>
      </c>
      <c r="S95" s="298">
        <v>3.9799798597555773E-2</v>
      </c>
      <c r="T95" s="298">
        <v>3.9799798597555773E-2</v>
      </c>
      <c r="U95" s="298">
        <v>3.9799798597555773E-2</v>
      </c>
    </row>
    <row r="96" spans="1:21" ht="14.4" x14ac:dyDescent="0.3">
      <c r="A96" s="43">
        <v>34</v>
      </c>
      <c r="B96" s="43"/>
      <c r="C96" s="1"/>
      <c r="D96" s="298">
        <v>0.15658261184107439</v>
      </c>
      <c r="E96" s="298">
        <v>6.9206297258360139E-2</v>
      </c>
      <c r="F96" s="298">
        <v>0.11719738000471913</v>
      </c>
      <c r="G96" s="298">
        <v>9.0950515996728487E-2</v>
      </c>
      <c r="H96" s="298">
        <v>5.6069430808107633E-2</v>
      </c>
      <c r="I96" s="298">
        <v>0.18457651004529252</v>
      </c>
      <c r="J96" s="298">
        <v>0.21861320828195963</v>
      </c>
      <c r="K96" s="298">
        <v>0.14805460867942424</v>
      </c>
      <c r="L96" s="298">
        <v>0.10865726471480185</v>
      </c>
      <c r="M96" s="298">
        <v>8.7921961526698345E-2</v>
      </c>
      <c r="N96" s="298">
        <v>5.8256465500538285E-2</v>
      </c>
      <c r="O96" s="298">
        <v>4.4253058727944716E-2</v>
      </c>
      <c r="P96" s="298">
        <v>3.9509788445304235E-2</v>
      </c>
      <c r="Q96" s="298">
        <v>2.9542651780987427E-2</v>
      </c>
      <c r="R96" s="298">
        <v>2.8071591122090556E-2</v>
      </c>
      <c r="S96" s="298">
        <v>2.8071591122090556E-2</v>
      </c>
      <c r="T96" s="298">
        <v>2.8071591122090556E-2</v>
      </c>
      <c r="U96" s="298">
        <v>2.8071591122090556E-2</v>
      </c>
    </row>
    <row r="97" spans="1:21" ht="14.4" x14ac:dyDescent="0.3">
      <c r="A97" s="43">
        <v>35</v>
      </c>
      <c r="B97" s="43"/>
      <c r="C97" s="1"/>
      <c r="D97" s="298">
        <v>5.9029852258662023</v>
      </c>
      <c r="E97" s="298">
        <v>1.4733260588243429</v>
      </c>
      <c r="F97" s="298">
        <v>1.2803616292235322</v>
      </c>
      <c r="G97" s="298">
        <v>1.0290257258239199</v>
      </c>
      <c r="H97" s="298">
        <v>0.95078684693100002</v>
      </c>
      <c r="I97" s="298">
        <v>0.68755518357204037</v>
      </c>
      <c r="J97" s="298">
        <v>0.51648077967213191</v>
      </c>
      <c r="K97" s="298">
        <v>0.5658478637815777</v>
      </c>
      <c r="L97" s="298">
        <v>0.55172205299175037</v>
      </c>
      <c r="M97" s="298">
        <v>0.48796466250698262</v>
      </c>
      <c r="N97" s="298">
        <v>0.39029335703643686</v>
      </c>
      <c r="O97" s="298">
        <v>0.36343466624775511</v>
      </c>
      <c r="P97" s="298">
        <v>0.35166631128246867</v>
      </c>
      <c r="Q97" s="298">
        <v>0.28545240285608292</v>
      </c>
      <c r="R97" s="298">
        <v>0.28281840150514814</v>
      </c>
      <c r="S97" s="298">
        <v>0.28281840150514814</v>
      </c>
      <c r="T97" s="298">
        <v>0.28281840150514814</v>
      </c>
      <c r="U97" s="298">
        <v>0.28281840150514814</v>
      </c>
    </row>
    <row r="98" spans="1:21" ht="14.4" x14ac:dyDescent="0.3">
      <c r="A98" s="43">
        <v>36</v>
      </c>
      <c r="B98" s="43"/>
      <c r="C98" s="1"/>
      <c r="D98" s="298">
        <v>0.15658261184107439</v>
      </c>
      <c r="E98" s="298">
        <v>6.9206297258360139E-2</v>
      </c>
      <c r="F98" s="298">
        <v>0.11719738000471913</v>
      </c>
      <c r="G98" s="298">
        <v>9.0950515996728487E-2</v>
      </c>
      <c r="H98" s="298">
        <v>5.6069430808107633E-2</v>
      </c>
      <c r="I98" s="298">
        <v>0.18457651004529252</v>
      </c>
      <c r="J98" s="298">
        <v>0.21861320828195963</v>
      </c>
      <c r="K98" s="298">
        <v>0.14805460867942424</v>
      </c>
      <c r="L98" s="298">
        <v>0.10865726471480185</v>
      </c>
      <c r="M98" s="298">
        <v>8.7921961526698345E-2</v>
      </c>
      <c r="N98" s="298">
        <v>5.8256465500538285E-2</v>
      </c>
      <c r="O98" s="298">
        <v>4.4253058727944716E-2</v>
      </c>
      <c r="P98" s="298">
        <v>3.9509788445304235E-2</v>
      </c>
      <c r="Q98" s="298">
        <v>2.9542651780987427E-2</v>
      </c>
      <c r="R98" s="298">
        <v>2.8071591122090556E-2</v>
      </c>
      <c r="S98" s="298">
        <v>2.8071591122090556E-2</v>
      </c>
      <c r="T98" s="298">
        <v>2.8071591122090556E-2</v>
      </c>
      <c r="U98" s="298">
        <v>2.8071591122090556E-2</v>
      </c>
    </row>
    <row r="99" spans="1:21" ht="14.4" x14ac:dyDescent="0.3">
      <c r="A99" s="43">
        <v>37</v>
      </c>
      <c r="B99" s="43"/>
      <c r="C99" s="1"/>
      <c r="D99" s="298">
        <v>4.7242605294817244</v>
      </c>
      <c r="E99" s="298">
        <v>1.4147795985274163</v>
      </c>
      <c r="F99" s="298">
        <v>0.86563302172429457</v>
      </c>
      <c r="G99" s="298">
        <v>0.58792408051231626</v>
      </c>
      <c r="H99" s="298">
        <v>0.44571284137714501</v>
      </c>
      <c r="I99" s="298">
        <v>0.35071388358174704</v>
      </c>
      <c r="J99" s="298">
        <v>0.34192356461046053</v>
      </c>
      <c r="K99" s="298">
        <v>0.32136315457507253</v>
      </c>
      <c r="L99" s="298">
        <v>0.32334277343163409</v>
      </c>
      <c r="M99" s="298">
        <v>0.31458122808120276</v>
      </c>
      <c r="N99" s="298">
        <v>0.26038899134139826</v>
      </c>
      <c r="O99" s="298">
        <v>0.23293659142238254</v>
      </c>
      <c r="P99" s="298">
        <v>0.23495243567481122</v>
      </c>
      <c r="Q99" s="298">
        <v>0.1983093021126322</v>
      </c>
      <c r="R99" s="298">
        <v>0.19995839901366486</v>
      </c>
      <c r="S99" s="298">
        <v>0.19995839901366486</v>
      </c>
      <c r="T99" s="298">
        <v>0.19995839901366486</v>
      </c>
      <c r="U99" s="298">
        <v>0.19995839901366486</v>
      </c>
    </row>
    <row r="100" spans="1:21" ht="14.4" x14ac:dyDescent="0.3">
      <c r="A100" s="43">
        <v>38</v>
      </c>
      <c r="B100" s="43"/>
      <c r="C100" s="1"/>
      <c r="D100" s="298">
        <v>0.15658261184107439</v>
      </c>
      <c r="E100" s="298">
        <v>6.9206297258360139E-2</v>
      </c>
      <c r="F100" s="298">
        <v>0.11719738000471913</v>
      </c>
      <c r="G100" s="298">
        <v>9.0950515996728487E-2</v>
      </c>
      <c r="H100" s="298">
        <v>5.6069430808107633E-2</v>
      </c>
      <c r="I100" s="298">
        <v>0.18457651004529252</v>
      </c>
      <c r="J100" s="298">
        <v>0.21861320828195963</v>
      </c>
      <c r="K100" s="298">
        <v>0.14805460867942424</v>
      </c>
      <c r="L100" s="298">
        <v>0.10865726471480185</v>
      </c>
      <c r="M100" s="298">
        <v>8.7921961526698345E-2</v>
      </c>
      <c r="N100" s="298">
        <v>5.8256465500538285E-2</v>
      </c>
      <c r="O100" s="298">
        <v>4.4253058727944716E-2</v>
      </c>
      <c r="P100" s="298">
        <v>3.9509788445304235E-2</v>
      </c>
      <c r="Q100" s="298">
        <v>2.9542651780987427E-2</v>
      </c>
      <c r="R100" s="298">
        <v>2.8071591122090556E-2</v>
      </c>
      <c r="S100" s="298">
        <v>2.8071591122090556E-2</v>
      </c>
      <c r="T100" s="298">
        <v>2.8071591122090556E-2</v>
      </c>
      <c r="U100" s="298">
        <v>2.8071591122090556E-2</v>
      </c>
    </row>
    <row r="101" spans="1:21" ht="14.4" x14ac:dyDescent="0.3">
      <c r="A101" s="43">
        <v>39</v>
      </c>
      <c r="B101" s="43"/>
      <c r="C101" s="1"/>
      <c r="D101" s="298">
        <v>0.2079850899943797</v>
      </c>
      <c r="E101" s="298">
        <v>0.13041647508011303</v>
      </c>
      <c r="F101" s="298">
        <v>0.12947509110634475</v>
      </c>
      <c r="G101" s="298">
        <v>0.11009404781577684</v>
      </c>
      <c r="H101" s="298">
        <v>6.014929527512837E-2</v>
      </c>
      <c r="I101" s="298">
        <v>0.21949671273146126</v>
      </c>
      <c r="J101" s="298">
        <v>0.27640701454444089</v>
      </c>
      <c r="K101" s="298">
        <v>0.17818419975534588</v>
      </c>
      <c r="L101" s="298">
        <v>0.12256174642203793</v>
      </c>
      <c r="M101" s="298">
        <v>9.8387203409769475E-2</v>
      </c>
      <c r="N101" s="298">
        <v>7.1958024598108364E-2</v>
      </c>
      <c r="O101" s="298">
        <v>5.1366620792552581E-2</v>
      </c>
      <c r="P101" s="298">
        <v>4.2850088405828553E-2</v>
      </c>
      <c r="Q101" s="298">
        <v>3.5922322150466021E-2</v>
      </c>
      <c r="R101" s="298">
        <v>3.4556391879303032E-2</v>
      </c>
      <c r="S101" s="298">
        <v>3.4556391879303032E-2</v>
      </c>
      <c r="T101" s="298">
        <v>3.4556391879303032E-2</v>
      </c>
      <c r="U101" s="298">
        <v>3.4556391879303032E-2</v>
      </c>
    </row>
    <row r="102" spans="1:21" ht="14.4" x14ac:dyDescent="0.3">
      <c r="A102" s="43">
        <v>40</v>
      </c>
      <c r="B102" s="43"/>
      <c r="C102" s="1"/>
      <c r="D102" s="298">
        <v>0.15658261184107439</v>
      </c>
      <c r="E102" s="298">
        <v>6.9206297258360139E-2</v>
      </c>
      <c r="F102" s="298">
        <v>0.11719738000471913</v>
      </c>
      <c r="G102" s="298">
        <v>9.0950515996728487E-2</v>
      </c>
      <c r="H102" s="298">
        <v>5.6069430808107633E-2</v>
      </c>
      <c r="I102" s="298">
        <v>0.18457651004529252</v>
      </c>
      <c r="J102" s="298">
        <v>0.21861320828195963</v>
      </c>
      <c r="K102" s="298">
        <v>0.14805460867942424</v>
      </c>
      <c r="L102" s="298">
        <v>0.10865726471480185</v>
      </c>
      <c r="M102" s="298">
        <v>8.7921961526698345E-2</v>
      </c>
      <c r="N102" s="298">
        <v>5.8256465500538285E-2</v>
      </c>
      <c r="O102" s="298">
        <v>4.4253058727944716E-2</v>
      </c>
      <c r="P102" s="298">
        <v>3.9509788445304235E-2</v>
      </c>
      <c r="Q102" s="298">
        <v>2.9542651780987427E-2</v>
      </c>
      <c r="R102" s="298">
        <v>2.8071591122090556E-2</v>
      </c>
      <c r="S102" s="298">
        <v>2.8071591122090556E-2</v>
      </c>
      <c r="T102" s="298">
        <v>2.8071591122090556E-2</v>
      </c>
      <c r="U102" s="298">
        <v>2.8071591122090556E-2</v>
      </c>
    </row>
    <row r="103" spans="1:21" ht="14.4" x14ac:dyDescent="0.3">
      <c r="A103" s="43">
        <v>41</v>
      </c>
      <c r="B103" s="43"/>
      <c r="C103" s="1"/>
      <c r="D103" s="298">
        <v>2.9593523720748518</v>
      </c>
      <c r="E103" s="298">
        <v>1.3960448536050045</v>
      </c>
      <c r="F103" s="298">
        <v>0.9788469484846104</v>
      </c>
      <c r="G103" s="298">
        <v>0.76626902234982497</v>
      </c>
      <c r="H103" s="298">
        <v>0.64986432358583057</v>
      </c>
      <c r="I103" s="298">
        <v>0.49479101470748305</v>
      </c>
      <c r="J103" s="298">
        <v>0.39951328972932304</v>
      </c>
      <c r="K103" s="298">
        <v>0.41594580564321404</v>
      </c>
      <c r="L103" s="298">
        <v>0.37579029347140652</v>
      </c>
      <c r="M103" s="298">
        <v>0.32440122806902955</v>
      </c>
      <c r="N103" s="298">
        <v>0.30529874652047795</v>
      </c>
      <c r="O103" s="298">
        <v>0.272856325769609</v>
      </c>
      <c r="P103" s="298">
        <v>0.23528249165808171</v>
      </c>
      <c r="Q103" s="298">
        <v>0.21930268062364178</v>
      </c>
      <c r="R103" s="298">
        <v>0.21942223358685053</v>
      </c>
      <c r="S103" s="298">
        <v>0.21942223358685053</v>
      </c>
      <c r="T103" s="298">
        <v>0.21942223358685053</v>
      </c>
      <c r="U103" s="298">
        <v>0.21942223358685053</v>
      </c>
    </row>
    <row r="104" spans="1:21" ht="14.4" x14ac:dyDescent="0.3">
      <c r="A104" s="43">
        <v>42</v>
      </c>
      <c r="B104" s="43"/>
      <c r="C104" s="1"/>
      <c r="D104" s="298">
        <v>0.15658261184107439</v>
      </c>
      <c r="E104" s="298">
        <v>6.9206297258360139E-2</v>
      </c>
      <c r="F104" s="298">
        <v>0.11719738000471913</v>
      </c>
      <c r="G104" s="298">
        <v>9.0950515996728487E-2</v>
      </c>
      <c r="H104" s="298">
        <v>5.6069430808107633E-2</v>
      </c>
      <c r="I104" s="298">
        <v>0.18457651004529252</v>
      </c>
      <c r="J104" s="298">
        <v>0.21861320828195963</v>
      </c>
      <c r="K104" s="298">
        <v>0.14805460867942424</v>
      </c>
      <c r="L104" s="298">
        <v>0.10865726471480185</v>
      </c>
      <c r="M104" s="298">
        <v>8.7921961526698345E-2</v>
      </c>
      <c r="N104" s="298">
        <v>5.8256465500538285E-2</v>
      </c>
      <c r="O104" s="298">
        <v>4.4253058727944716E-2</v>
      </c>
      <c r="P104" s="298">
        <v>3.9509788445304235E-2</v>
      </c>
      <c r="Q104" s="298">
        <v>2.9542651780987427E-2</v>
      </c>
      <c r="R104" s="298">
        <v>2.8071591122090556E-2</v>
      </c>
      <c r="S104" s="298">
        <v>2.8071591122090556E-2</v>
      </c>
      <c r="T104" s="298">
        <v>2.8071591122090556E-2</v>
      </c>
      <c r="U104" s="298">
        <v>2.8071591122090556E-2</v>
      </c>
    </row>
    <row r="105" spans="1:21" ht="14.4" x14ac:dyDescent="0.3">
      <c r="A105" s="43">
        <v>43</v>
      </c>
      <c r="B105" s="43"/>
      <c r="C105" s="1"/>
      <c r="D105" s="298">
        <v>2.2178560512821952</v>
      </c>
      <c r="E105" s="298">
        <v>1.1905972320783262</v>
      </c>
      <c r="F105" s="298">
        <v>0.75615175660327605</v>
      </c>
      <c r="G105" s="298">
        <v>0.45362551647456517</v>
      </c>
      <c r="H105" s="298">
        <v>0.28528173727691464</v>
      </c>
      <c r="I105" s="298">
        <v>0.21779752656057286</v>
      </c>
      <c r="J105" s="298">
        <v>0.25538951981730396</v>
      </c>
      <c r="K105" s="298">
        <v>0.24818871965708805</v>
      </c>
      <c r="L105" s="298">
        <v>0.22308863199724832</v>
      </c>
      <c r="M105" s="298">
        <v>0.19779080449305989</v>
      </c>
      <c r="N105" s="298">
        <v>0.1877023014843526</v>
      </c>
      <c r="O105" s="298">
        <v>0.18024721970812474</v>
      </c>
      <c r="P105" s="298">
        <v>0.14969356494618877</v>
      </c>
      <c r="Q105" s="298">
        <v>0.15402172112964774</v>
      </c>
      <c r="R105" s="298">
        <v>0.14788153997371078</v>
      </c>
      <c r="S105" s="298">
        <v>0.14788153997371078</v>
      </c>
      <c r="T105" s="298">
        <v>0.14788153997371078</v>
      </c>
      <c r="U105" s="298">
        <v>0.14788153997371078</v>
      </c>
    </row>
    <row r="106" spans="1:21" ht="14.4" x14ac:dyDescent="0.3">
      <c r="A106" s="43">
        <v>44</v>
      </c>
      <c r="B106" s="43"/>
      <c r="C106" s="1"/>
      <c r="D106" s="298">
        <v>0.15658261184107439</v>
      </c>
      <c r="E106" s="298">
        <v>6.9206297258360139E-2</v>
      </c>
      <c r="F106" s="298">
        <v>0.11719738000471913</v>
      </c>
      <c r="G106" s="298">
        <v>9.0950515996728487E-2</v>
      </c>
      <c r="H106" s="298">
        <v>5.6069430808107633E-2</v>
      </c>
      <c r="I106" s="298">
        <v>0.18457651004529252</v>
      </c>
      <c r="J106" s="298">
        <v>0.21861320828195963</v>
      </c>
      <c r="K106" s="298">
        <v>0.14805460867942424</v>
      </c>
      <c r="L106" s="298">
        <v>0.10865726471480185</v>
      </c>
      <c r="M106" s="298">
        <v>8.7921961526698345E-2</v>
      </c>
      <c r="N106" s="298">
        <v>5.8256465500538285E-2</v>
      </c>
      <c r="O106" s="298">
        <v>4.4253058727944716E-2</v>
      </c>
      <c r="P106" s="298">
        <v>3.9509788445304235E-2</v>
      </c>
      <c r="Q106" s="298">
        <v>2.9542651780987427E-2</v>
      </c>
      <c r="R106" s="298">
        <v>2.8071591122090556E-2</v>
      </c>
      <c r="S106" s="298">
        <v>2.8071591122090556E-2</v>
      </c>
      <c r="T106" s="298">
        <v>2.8071591122090556E-2</v>
      </c>
      <c r="U106" s="298">
        <v>2.8071591122090556E-2</v>
      </c>
    </row>
    <row r="107" spans="1:21" ht="14.4" x14ac:dyDescent="0.3">
      <c r="A107" s="43">
        <v>45</v>
      </c>
      <c r="B107" s="43"/>
      <c r="C107" s="1"/>
      <c r="D107" s="298">
        <v>0.15674381381219379</v>
      </c>
      <c r="E107" s="298">
        <v>6.9135515452953725E-2</v>
      </c>
      <c r="F107" s="298">
        <v>0.11721931861181524</v>
      </c>
      <c r="G107" s="298">
        <v>9.0976276916425139E-2</v>
      </c>
      <c r="H107" s="298">
        <v>5.5974795488511517E-2</v>
      </c>
      <c r="I107" s="298">
        <v>0.18455139999068912</v>
      </c>
      <c r="J107" s="298">
        <v>0.21866515563030009</v>
      </c>
      <c r="K107" s="298">
        <v>0.14808361462956454</v>
      </c>
      <c r="L107" s="298">
        <v>0.10867252849450271</v>
      </c>
      <c r="M107" s="298">
        <v>8.7932880027034033E-2</v>
      </c>
      <c r="N107" s="298">
        <v>5.8261619608528936E-2</v>
      </c>
      <c r="O107" s="298">
        <v>4.4254803859095013E-2</v>
      </c>
      <c r="P107" s="298">
        <v>3.9511622355493263E-2</v>
      </c>
      <c r="Q107" s="298">
        <v>2.9543012509050892E-2</v>
      </c>
      <c r="R107" s="298">
        <v>2.8071590865564936E-2</v>
      </c>
      <c r="S107" s="298">
        <v>2.8071590865564936E-2</v>
      </c>
      <c r="T107" s="298">
        <v>2.8071590865564936E-2</v>
      </c>
      <c r="U107" s="298">
        <v>2.8071590865564936E-2</v>
      </c>
    </row>
    <row r="108" spans="1:21" ht="14.4" x14ac:dyDescent="0.3">
      <c r="A108" s="43">
        <v>46</v>
      </c>
      <c r="B108" s="43"/>
      <c r="C108" s="1"/>
      <c r="D108" s="298">
        <v>0.15658261184107439</v>
      </c>
      <c r="E108" s="298">
        <v>6.9206297258360139E-2</v>
      </c>
      <c r="F108" s="298">
        <v>0.11719738000471913</v>
      </c>
      <c r="G108" s="298">
        <v>9.0950515996728487E-2</v>
      </c>
      <c r="H108" s="298">
        <v>5.6069430808107633E-2</v>
      </c>
      <c r="I108" s="298">
        <v>0.18457651004529252</v>
      </c>
      <c r="J108" s="298">
        <v>0.21861320828195963</v>
      </c>
      <c r="K108" s="298">
        <v>0.14805460867942424</v>
      </c>
      <c r="L108" s="298">
        <v>0.10865726471480185</v>
      </c>
      <c r="M108" s="298">
        <v>8.7921961526698345E-2</v>
      </c>
      <c r="N108" s="298">
        <v>5.8256465500538285E-2</v>
      </c>
      <c r="O108" s="298">
        <v>4.4253058727944716E-2</v>
      </c>
      <c r="P108" s="298">
        <v>3.9509788445304235E-2</v>
      </c>
      <c r="Q108" s="298">
        <v>2.9542651780987427E-2</v>
      </c>
      <c r="R108" s="298">
        <v>2.8071591122090556E-2</v>
      </c>
      <c r="S108" s="298">
        <v>2.8071591122090556E-2</v>
      </c>
      <c r="T108" s="298">
        <v>2.8071591122090556E-2</v>
      </c>
      <c r="U108" s="298">
        <v>2.8071591122090556E-2</v>
      </c>
    </row>
    <row r="109" spans="1:21" ht="14.4" x14ac:dyDescent="0.3">
      <c r="A109" s="43">
        <v>47</v>
      </c>
      <c r="B109" s="43"/>
      <c r="C109" s="1"/>
      <c r="D109" s="298">
        <v>2.3268630691236321</v>
      </c>
      <c r="E109" s="298">
        <v>0.78641478977548207</v>
      </c>
      <c r="F109" s="298">
        <v>0.65683719239534155</v>
      </c>
      <c r="G109" s="298">
        <v>0.58143321676267457</v>
      </c>
      <c r="H109" s="298">
        <v>0.44928960665019158</v>
      </c>
      <c r="I109" s="298">
        <v>0.41294151992551731</v>
      </c>
      <c r="J109" s="298">
        <v>0.2940568330031525</v>
      </c>
      <c r="K109" s="298">
        <v>0.2786885915405366</v>
      </c>
      <c r="L109" s="298">
        <v>0.26697263616116279</v>
      </c>
      <c r="M109" s="298">
        <v>0.26064585390490097</v>
      </c>
      <c r="N109" s="298">
        <v>0.2367936036530196</v>
      </c>
      <c r="O109" s="298">
        <v>0.19038468562778788</v>
      </c>
      <c r="P109" s="298">
        <v>0.18456070692514012</v>
      </c>
      <c r="Q109" s="298">
        <v>0.16108516476637483</v>
      </c>
      <c r="R109" s="298">
        <v>0.15522073313539117</v>
      </c>
      <c r="S109" s="298">
        <v>0.15522073313539117</v>
      </c>
      <c r="T109" s="298">
        <v>0.15522073313539117</v>
      </c>
      <c r="U109" s="298">
        <v>0.15522073313539117</v>
      </c>
    </row>
    <row r="110" spans="1:21" ht="14.4" x14ac:dyDescent="0.3">
      <c r="A110" s="43">
        <v>48</v>
      </c>
      <c r="B110" s="43"/>
      <c r="C110" s="1"/>
      <c r="D110" s="298">
        <v>0.15658261184107439</v>
      </c>
      <c r="E110" s="298">
        <v>6.9206297258360139E-2</v>
      </c>
      <c r="F110" s="298">
        <v>0.11719738000471913</v>
      </c>
      <c r="G110" s="298">
        <v>9.0950515996728487E-2</v>
      </c>
      <c r="H110" s="298">
        <v>5.6069430808107633E-2</v>
      </c>
      <c r="I110" s="298">
        <v>0.18457651004529252</v>
      </c>
      <c r="J110" s="298">
        <v>0.21861320828195963</v>
      </c>
      <c r="K110" s="298">
        <v>0.14805460867942424</v>
      </c>
      <c r="L110" s="298">
        <v>0.10865726471480185</v>
      </c>
      <c r="M110" s="298">
        <v>8.7921961526698345E-2</v>
      </c>
      <c r="N110" s="298">
        <v>5.8256465500538285E-2</v>
      </c>
      <c r="O110" s="298">
        <v>4.4253058727944716E-2</v>
      </c>
      <c r="P110" s="298">
        <v>3.9509788445304235E-2</v>
      </c>
      <c r="Q110" s="298">
        <v>2.9542651780987427E-2</v>
      </c>
      <c r="R110" s="298">
        <v>2.8071591122090556E-2</v>
      </c>
      <c r="S110" s="298">
        <v>2.8071591122090556E-2</v>
      </c>
      <c r="T110" s="298">
        <v>2.8071591122090556E-2</v>
      </c>
      <c r="U110" s="298">
        <v>2.8071591122090556E-2</v>
      </c>
    </row>
    <row r="111" spans="1:21" ht="14.4" x14ac:dyDescent="0.3">
      <c r="A111" s="43">
        <v>49</v>
      </c>
      <c r="B111" s="43"/>
      <c r="C111" s="1"/>
      <c r="D111" s="298">
        <v>2.222090686942058</v>
      </c>
      <c r="E111" s="298">
        <v>0.8231320290067401</v>
      </c>
      <c r="F111" s="298">
        <v>0.54372728367538525</v>
      </c>
      <c r="G111" s="298">
        <v>0.33388586731319231</v>
      </c>
      <c r="H111" s="298">
        <v>0.20472977887589594</v>
      </c>
      <c r="I111" s="298">
        <v>0.16067909526322774</v>
      </c>
      <c r="J111" s="298">
        <v>0.19635848943192444</v>
      </c>
      <c r="K111" s="298">
        <v>0.18022284651166184</v>
      </c>
      <c r="L111" s="298">
        <v>0.15241194609444156</v>
      </c>
      <c r="M111" s="298">
        <v>0.14568078669873447</v>
      </c>
      <c r="N111" s="298">
        <v>0.14316623416465049</v>
      </c>
      <c r="O111" s="298">
        <v>0.11820986355275069</v>
      </c>
      <c r="P111" s="298">
        <v>0.11324661442841535</v>
      </c>
      <c r="Q111" s="298">
        <v>0.10591950094820782</v>
      </c>
      <c r="R111" s="298">
        <v>0.10181373046970461</v>
      </c>
      <c r="S111" s="298">
        <v>0.10181373046970461</v>
      </c>
      <c r="T111" s="298">
        <v>0.10181373046970461</v>
      </c>
      <c r="U111" s="298">
        <v>0.10181373046970461</v>
      </c>
    </row>
    <row r="112" spans="1:21" ht="14.4" x14ac:dyDescent="0.3">
      <c r="A112" s="43">
        <v>50</v>
      </c>
      <c r="B112" s="43"/>
      <c r="C112" s="1"/>
      <c r="D112" s="298">
        <v>0.15658261184107439</v>
      </c>
      <c r="E112" s="298">
        <v>6.9206297258360139E-2</v>
      </c>
      <c r="F112" s="298">
        <v>0.11719738000471913</v>
      </c>
      <c r="G112" s="298">
        <v>9.0950515996728487E-2</v>
      </c>
      <c r="H112" s="298">
        <v>5.6069430808107633E-2</v>
      </c>
      <c r="I112" s="298">
        <v>0.18457651004529252</v>
      </c>
      <c r="J112" s="298">
        <v>0.21861320828195963</v>
      </c>
      <c r="K112" s="298">
        <v>0.14805460867942424</v>
      </c>
      <c r="L112" s="298">
        <v>0.10865726471480185</v>
      </c>
      <c r="M112" s="298">
        <v>8.7921961526698345E-2</v>
      </c>
      <c r="N112" s="298">
        <v>5.8256465500538285E-2</v>
      </c>
      <c r="O112" s="298">
        <v>4.4253058727944716E-2</v>
      </c>
      <c r="P112" s="298">
        <v>3.9509788445304235E-2</v>
      </c>
      <c r="Q112" s="298">
        <v>2.9542651780987427E-2</v>
      </c>
      <c r="R112" s="298">
        <v>2.8071591122090556E-2</v>
      </c>
      <c r="S112" s="298">
        <v>2.8071591122090556E-2</v>
      </c>
      <c r="T112" s="298">
        <v>2.8071591122090556E-2</v>
      </c>
      <c r="U112" s="298">
        <v>2.8071591122090556E-2</v>
      </c>
    </row>
    <row r="113" spans="2:21" x14ac:dyDescent="0.25">
      <c r="D113" s="51"/>
    </row>
    <row r="114" spans="2:21" x14ac:dyDescent="0.25">
      <c r="B114" s="26" t="s">
        <v>5</v>
      </c>
      <c r="D114" s="32">
        <f t="shared" ref="D114:U114" si="7">SQRT(SUMSQ(D64:D112))</f>
        <v>163.93774717643851</v>
      </c>
      <c r="E114" s="32">
        <f t="shared" si="7"/>
        <v>113.48802501155089</v>
      </c>
      <c r="F114" s="32">
        <f t="shared" si="7"/>
        <v>92.201479834948017</v>
      </c>
      <c r="G114" s="32">
        <f t="shared" si="7"/>
        <v>70.914070764570482</v>
      </c>
      <c r="H114" s="32">
        <f t="shared" si="7"/>
        <v>54.750054571794223</v>
      </c>
      <c r="I114" s="32">
        <f t="shared" si="7"/>
        <v>45.409107972180678</v>
      </c>
      <c r="J114" s="32">
        <f t="shared" si="7"/>
        <v>40.452846599409661</v>
      </c>
      <c r="K114" s="32">
        <f t="shared" si="7"/>
        <v>36.567604373048553</v>
      </c>
      <c r="L114" s="32">
        <f t="shared" si="7"/>
        <v>33.722497172696237</v>
      </c>
      <c r="M114" s="32">
        <f t="shared" si="7"/>
        <v>31.537820676686238</v>
      </c>
      <c r="N114" s="32">
        <f t="shared" si="7"/>
        <v>28.353599859458789</v>
      </c>
      <c r="O114" s="32">
        <f t="shared" si="7"/>
        <v>26.003967172553079</v>
      </c>
      <c r="P114" s="32">
        <f t="shared" si="7"/>
        <v>24.160245237926446</v>
      </c>
      <c r="Q114" s="32">
        <f t="shared" si="7"/>
        <v>21.249690073067327</v>
      </c>
      <c r="R114" s="32">
        <f t="shared" si="7"/>
        <v>21.247242746791578</v>
      </c>
      <c r="S114" s="32">
        <f t="shared" si="7"/>
        <v>21.247242746791578</v>
      </c>
      <c r="T114" s="32">
        <f t="shared" si="7"/>
        <v>21.247242746791578</v>
      </c>
      <c r="U114" s="32">
        <f t="shared" si="7"/>
        <v>21.247242746791578</v>
      </c>
    </row>
    <row r="116" spans="2:21" x14ac:dyDescent="0.25">
      <c r="D116" s="32"/>
      <c r="E116" s="32"/>
      <c r="F116" s="32"/>
      <c r="G116" s="32"/>
      <c r="H116" s="32"/>
      <c r="I116" s="32"/>
    </row>
    <row r="118" spans="2:21" x14ac:dyDescent="0.25">
      <c r="D118" s="32"/>
      <c r="E118" s="32"/>
      <c r="F118" s="32"/>
      <c r="G118" s="32"/>
      <c r="H118" s="32"/>
      <c r="I118" s="32"/>
    </row>
  </sheetData>
  <pageMargins left="0.75" right="0.75" top="1" bottom="1" header="0.5" footer="0.5"/>
  <pageSetup scale="86" fitToWidth="2" fitToHeight="2" orientation="portrait" r:id="rId1"/>
  <headerFooter alignWithMargins="0">
    <oddHeader>&amp;R&amp;D
&amp;T
rh</oddHeader>
    <oddFooter>&amp;L&amp;F
&amp;A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U118"/>
  <sheetViews>
    <sheetView workbookViewId="0"/>
  </sheetViews>
  <sheetFormatPr defaultRowHeight="13.2" x14ac:dyDescent="0.25"/>
  <cols>
    <col min="1" max="6" width="9.109375" style="26"/>
    <col min="7" max="7" width="9.109375" style="26" customWidth="1"/>
    <col min="8" max="8" width="10.6640625" style="26" customWidth="1"/>
    <col min="9" max="262" width="9.109375" style="26"/>
    <col min="263" max="263" width="9.5546875" style="26" bestFit="1" customWidth="1"/>
    <col min="264" max="264" width="10.6640625" style="26" customWidth="1"/>
    <col min="265" max="518" width="9.109375" style="26"/>
    <col min="519" max="519" width="9.5546875" style="26" bestFit="1" customWidth="1"/>
    <col min="520" max="520" width="10.6640625" style="26" customWidth="1"/>
    <col min="521" max="774" width="9.109375" style="26"/>
    <col min="775" max="775" width="9.5546875" style="26" bestFit="1" customWidth="1"/>
    <col min="776" max="776" width="10.6640625" style="26" customWidth="1"/>
    <col min="777" max="1030" width="9.109375" style="26"/>
    <col min="1031" max="1031" width="9.5546875" style="26" bestFit="1" customWidth="1"/>
    <col min="1032" max="1032" width="10.6640625" style="26" customWidth="1"/>
    <col min="1033" max="1286" width="9.109375" style="26"/>
    <col min="1287" max="1287" width="9.5546875" style="26" bestFit="1" customWidth="1"/>
    <col min="1288" max="1288" width="10.6640625" style="26" customWidth="1"/>
    <col min="1289" max="1542" width="9.109375" style="26"/>
    <col min="1543" max="1543" width="9.5546875" style="26" bestFit="1" customWidth="1"/>
    <col min="1544" max="1544" width="10.6640625" style="26" customWidth="1"/>
    <col min="1545" max="1798" width="9.109375" style="26"/>
    <col min="1799" max="1799" width="9.5546875" style="26" bestFit="1" customWidth="1"/>
    <col min="1800" max="1800" width="10.6640625" style="26" customWidth="1"/>
    <col min="1801" max="2054" width="9.109375" style="26"/>
    <col min="2055" max="2055" width="9.5546875" style="26" bestFit="1" customWidth="1"/>
    <col min="2056" max="2056" width="10.6640625" style="26" customWidth="1"/>
    <col min="2057" max="2310" width="9.109375" style="26"/>
    <col min="2311" max="2311" width="9.5546875" style="26" bestFit="1" customWidth="1"/>
    <col min="2312" max="2312" width="10.6640625" style="26" customWidth="1"/>
    <col min="2313" max="2566" width="9.109375" style="26"/>
    <col min="2567" max="2567" width="9.5546875" style="26" bestFit="1" customWidth="1"/>
    <col min="2568" max="2568" width="10.6640625" style="26" customWidth="1"/>
    <col min="2569" max="2822" width="9.109375" style="26"/>
    <col min="2823" max="2823" width="9.5546875" style="26" bestFit="1" customWidth="1"/>
    <col min="2824" max="2824" width="10.6640625" style="26" customWidth="1"/>
    <col min="2825" max="3078" width="9.109375" style="26"/>
    <col min="3079" max="3079" width="9.5546875" style="26" bestFit="1" customWidth="1"/>
    <col min="3080" max="3080" width="10.6640625" style="26" customWidth="1"/>
    <col min="3081" max="3334" width="9.109375" style="26"/>
    <col min="3335" max="3335" width="9.5546875" style="26" bestFit="1" customWidth="1"/>
    <col min="3336" max="3336" width="10.6640625" style="26" customWidth="1"/>
    <col min="3337" max="3590" width="9.109375" style="26"/>
    <col min="3591" max="3591" width="9.5546875" style="26" bestFit="1" customWidth="1"/>
    <col min="3592" max="3592" width="10.6640625" style="26" customWidth="1"/>
    <col min="3593" max="3846" width="9.109375" style="26"/>
    <col min="3847" max="3847" width="9.5546875" style="26" bestFit="1" customWidth="1"/>
    <col min="3848" max="3848" width="10.6640625" style="26" customWidth="1"/>
    <col min="3849" max="4102" width="9.109375" style="26"/>
    <col min="4103" max="4103" width="9.5546875" style="26" bestFit="1" customWidth="1"/>
    <col min="4104" max="4104" width="10.6640625" style="26" customWidth="1"/>
    <col min="4105" max="4358" width="9.109375" style="26"/>
    <col min="4359" max="4359" width="9.5546875" style="26" bestFit="1" customWidth="1"/>
    <col min="4360" max="4360" width="10.6640625" style="26" customWidth="1"/>
    <col min="4361" max="4614" width="9.109375" style="26"/>
    <col min="4615" max="4615" width="9.5546875" style="26" bestFit="1" customWidth="1"/>
    <col min="4616" max="4616" width="10.6640625" style="26" customWidth="1"/>
    <col min="4617" max="4870" width="9.109375" style="26"/>
    <col min="4871" max="4871" width="9.5546875" style="26" bestFit="1" customWidth="1"/>
    <col min="4872" max="4872" width="10.6640625" style="26" customWidth="1"/>
    <col min="4873" max="5126" width="9.109375" style="26"/>
    <col min="5127" max="5127" width="9.5546875" style="26" bestFit="1" customWidth="1"/>
    <col min="5128" max="5128" width="10.6640625" style="26" customWidth="1"/>
    <col min="5129" max="5382" width="9.109375" style="26"/>
    <col min="5383" max="5383" width="9.5546875" style="26" bestFit="1" customWidth="1"/>
    <col min="5384" max="5384" width="10.6640625" style="26" customWidth="1"/>
    <col min="5385" max="5638" width="9.109375" style="26"/>
    <col min="5639" max="5639" width="9.5546875" style="26" bestFit="1" customWidth="1"/>
    <col min="5640" max="5640" width="10.6640625" style="26" customWidth="1"/>
    <col min="5641" max="5894" width="9.109375" style="26"/>
    <col min="5895" max="5895" width="9.5546875" style="26" bestFit="1" customWidth="1"/>
    <col min="5896" max="5896" width="10.6640625" style="26" customWidth="1"/>
    <col min="5897" max="6150" width="9.109375" style="26"/>
    <col min="6151" max="6151" width="9.5546875" style="26" bestFit="1" customWidth="1"/>
    <col min="6152" max="6152" width="10.6640625" style="26" customWidth="1"/>
    <col min="6153" max="6406" width="9.109375" style="26"/>
    <col min="6407" max="6407" width="9.5546875" style="26" bestFit="1" customWidth="1"/>
    <col min="6408" max="6408" width="10.6640625" style="26" customWidth="1"/>
    <col min="6409" max="6662" width="9.109375" style="26"/>
    <col min="6663" max="6663" width="9.5546875" style="26" bestFit="1" customWidth="1"/>
    <col min="6664" max="6664" width="10.6640625" style="26" customWidth="1"/>
    <col min="6665" max="6918" width="9.109375" style="26"/>
    <col min="6919" max="6919" width="9.5546875" style="26" bestFit="1" customWidth="1"/>
    <col min="6920" max="6920" width="10.6640625" style="26" customWidth="1"/>
    <col min="6921" max="7174" width="9.109375" style="26"/>
    <col min="7175" max="7175" width="9.5546875" style="26" bestFit="1" customWidth="1"/>
    <col min="7176" max="7176" width="10.6640625" style="26" customWidth="1"/>
    <col min="7177" max="7430" width="9.109375" style="26"/>
    <col min="7431" max="7431" width="9.5546875" style="26" bestFit="1" customWidth="1"/>
    <col min="7432" max="7432" width="10.6640625" style="26" customWidth="1"/>
    <col min="7433" max="7686" width="9.109375" style="26"/>
    <col min="7687" max="7687" width="9.5546875" style="26" bestFit="1" customWidth="1"/>
    <col min="7688" max="7688" width="10.6640625" style="26" customWidth="1"/>
    <col min="7689" max="7942" width="9.109375" style="26"/>
    <col min="7943" max="7943" width="9.5546875" style="26" bestFit="1" customWidth="1"/>
    <col min="7944" max="7944" width="10.6640625" style="26" customWidth="1"/>
    <col min="7945" max="8198" width="9.109375" style="26"/>
    <col min="8199" max="8199" width="9.5546875" style="26" bestFit="1" customWidth="1"/>
    <col min="8200" max="8200" width="10.6640625" style="26" customWidth="1"/>
    <col min="8201" max="8454" width="9.109375" style="26"/>
    <col min="8455" max="8455" width="9.5546875" style="26" bestFit="1" customWidth="1"/>
    <col min="8456" max="8456" width="10.6640625" style="26" customWidth="1"/>
    <col min="8457" max="8710" width="9.109375" style="26"/>
    <col min="8711" max="8711" width="9.5546875" style="26" bestFit="1" customWidth="1"/>
    <col min="8712" max="8712" width="10.6640625" style="26" customWidth="1"/>
    <col min="8713" max="8966" width="9.109375" style="26"/>
    <col min="8967" max="8967" width="9.5546875" style="26" bestFit="1" customWidth="1"/>
    <col min="8968" max="8968" width="10.6640625" style="26" customWidth="1"/>
    <col min="8969" max="9222" width="9.109375" style="26"/>
    <col min="9223" max="9223" width="9.5546875" style="26" bestFit="1" customWidth="1"/>
    <col min="9224" max="9224" width="10.6640625" style="26" customWidth="1"/>
    <col min="9225" max="9478" width="9.109375" style="26"/>
    <col min="9479" max="9479" width="9.5546875" style="26" bestFit="1" customWidth="1"/>
    <col min="9480" max="9480" width="10.6640625" style="26" customWidth="1"/>
    <col min="9481" max="9734" width="9.109375" style="26"/>
    <col min="9735" max="9735" width="9.5546875" style="26" bestFit="1" customWidth="1"/>
    <col min="9736" max="9736" width="10.6640625" style="26" customWidth="1"/>
    <col min="9737" max="9990" width="9.109375" style="26"/>
    <col min="9991" max="9991" width="9.5546875" style="26" bestFit="1" customWidth="1"/>
    <col min="9992" max="9992" width="10.6640625" style="26" customWidth="1"/>
    <col min="9993" max="10246" width="9.109375" style="26"/>
    <col min="10247" max="10247" width="9.5546875" style="26" bestFit="1" customWidth="1"/>
    <col min="10248" max="10248" width="10.6640625" style="26" customWidth="1"/>
    <col min="10249" max="10502" width="9.109375" style="26"/>
    <col min="10503" max="10503" width="9.5546875" style="26" bestFit="1" customWidth="1"/>
    <col min="10504" max="10504" width="10.6640625" style="26" customWidth="1"/>
    <col min="10505" max="10758" width="9.109375" style="26"/>
    <col min="10759" max="10759" width="9.5546875" style="26" bestFit="1" customWidth="1"/>
    <col min="10760" max="10760" width="10.6640625" style="26" customWidth="1"/>
    <col min="10761" max="11014" width="9.109375" style="26"/>
    <col min="11015" max="11015" width="9.5546875" style="26" bestFit="1" customWidth="1"/>
    <col min="11016" max="11016" width="10.6640625" style="26" customWidth="1"/>
    <col min="11017" max="11270" width="9.109375" style="26"/>
    <col min="11271" max="11271" width="9.5546875" style="26" bestFit="1" customWidth="1"/>
    <col min="11272" max="11272" width="10.6640625" style="26" customWidth="1"/>
    <col min="11273" max="11526" width="9.109375" style="26"/>
    <col min="11527" max="11527" width="9.5546875" style="26" bestFit="1" customWidth="1"/>
    <col min="11528" max="11528" width="10.6640625" style="26" customWidth="1"/>
    <col min="11529" max="11782" width="9.109375" style="26"/>
    <col min="11783" max="11783" width="9.5546875" style="26" bestFit="1" customWidth="1"/>
    <col min="11784" max="11784" width="10.6640625" style="26" customWidth="1"/>
    <col min="11785" max="12038" width="9.109375" style="26"/>
    <col min="12039" max="12039" width="9.5546875" style="26" bestFit="1" customWidth="1"/>
    <col min="12040" max="12040" width="10.6640625" style="26" customWidth="1"/>
    <col min="12041" max="12294" width="9.109375" style="26"/>
    <col min="12295" max="12295" width="9.5546875" style="26" bestFit="1" customWidth="1"/>
    <col min="12296" max="12296" width="10.6640625" style="26" customWidth="1"/>
    <col min="12297" max="12550" width="9.109375" style="26"/>
    <col min="12551" max="12551" width="9.5546875" style="26" bestFit="1" customWidth="1"/>
    <col min="12552" max="12552" width="10.6640625" style="26" customWidth="1"/>
    <col min="12553" max="12806" width="9.109375" style="26"/>
    <col min="12807" max="12807" width="9.5546875" style="26" bestFit="1" customWidth="1"/>
    <col min="12808" max="12808" width="10.6640625" style="26" customWidth="1"/>
    <col min="12809" max="13062" width="9.109375" style="26"/>
    <col min="13063" max="13063" width="9.5546875" style="26" bestFit="1" customWidth="1"/>
    <col min="13064" max="13064" width="10.6640625" style="26" customWidth="1"/>
    <col min="13065" max="13318" width="9.109375" style="26"/>
    <col min="13319" max="13319" width="9.5546875" style="26" bestFit="1" customWidth="1"/>
    <col min="13320" max="13320" width="10.6640625" style="26" customWidth="1"/>
    <col min="13321" max="13574" width="9.109375" style="26"/>
    <col min="13575" max="13575" width="9.5546875" style="26" bestFit="1" customWidth="1"/>
    <col min="13576" max="13576" width="10.6640625" style="26" customWidth="1"/>
    <col min="13577" max="13830" width="9.109375" style="26"/>
    <col min="13831" max="13831" width="9.5546875" style="26" bestFit="1" customWidth="1"/>
    <col min="13832" max="13832" width="10.6640625" style="26" customWidth="1"/>
    <col min="13833" max="14086" width="9.109375" style="26"/>
    <col min="14087" max="14087" width="9.5546875" style="26" bestFit="1" customWidth="1"/>
    <col min="14088" max="14088" width="10.6640625" style="26" customWidth="1"/>
    <col min="14089" max="14342" width="9.109375" style="26"/>
    <col min="14343" max="14343" width="9.5546875" style="26" bestFit="1" customWidth="1"/>
    <col min="14344" max="14344" width="10.6640625" style="26" customWidth="1"/>
    <col min="14345" max="14598" width="9.109375" style="26"/>
    <col min="14599" max="14599" width="9.5546875" style="26" bestFit="1" customWidth="1"/>
    <col min="14600" max="14600" width="10.6640625" style="26" customWidth="1"/>
    <col min="14601" max="14854" width="9.109375" style="26"/>
    <col min="14855" max="14855" width="9.5546875" style="26" bestFit="1" customWidth="1"/>
    <col min="14856" max="14856" width="10.6640625" style="26" customWidth="1"/>
    <col min="14857" max="15110" width="9.109375" style="26"/>
    <col min="15111" max="15111" width="9.5546875" style="26" bestFit="1" customWidth="1"/>
    <col min="15112" max="15112" width="10.6640625" style="26" customWidth="1"/>
    <col min="15113" max="15366" width="9.109375" style="26"/>
    <col min="15367" max="15367" width="9.5546875" style="26" bestFit="1" customWidth="1"/>
    <col min="15368" max="15368" width="10.6640625" style="26" customWidth="1"/>
    <col min="15369" max="15622" width="9.109375" style="26"/>
    <col min="15623" max="15623" width="9.5546875" style="26" bestFit="1" customWidth="1"/>
    <col min="15624" max="15624" width="10.6640625" style="26" customWidth="1"/>
    <col min="15625" max="15878" width="9.109375" style="26"/>
    <col min="15879" max="15879" width="9.5546875" style="26" bestFit="1" customWidth="1"/>
    <col min="15880" max="15880" width="10.6640625" style="26" customWidth="1"/>
    <col min="15881" max="16134" width="9.109375" style="26"/>
    <col min="16135" max="16135" width="9.5546875" style="26" bestFit="1" customWidth="1"/>
    <col min="16136" max="16136" width="10.6640625" style="26" customWidth="1"/>
    <col min="16137" max="16384" width="9.109375" style="26"/>
  </cols>
  <sheetData>
    <row r="1" spans="1:21" ht="13.8" thickBot="1" x14ac:dyDescent="0.3">
      <c r="A1" s="84" t="s">
        <v>294</v>
      </c>
      <c r="B1" s="275" t="s">
        <v>402</v>
      </c>
      <c r="C1" s="33">
        <f>Drives!BA37</f>
        <v>38490.017945975058</v>
      </c>
      <c r="D1" s="28" t="s">
        <v>7</v>
      </c>
      <c r="E1" s="300">
        <v>5</v>
      </c>
      <c r="F1" s="301">
        <f>MAX(0.1,E1+100/C1)</f>
        <v>5.0025980762113536</v>
      </c>
      <c r="G1" s="36" t="s">
        <v>1</v>
      </c>
      <c r="H1" s="81">
        <f>J17</f>
        <v>0</v>
      </c>
      <c r="I1" s="54" t="s">
        <v>13</v>
      </c>
      <c r="J1" s="34">
        <f>Drives!Z37</f>
        <v>0</v>
      </c>
      <c r="K1" s="26" t="s">
        <v>84</v>
      </c>
      <c r="N1" s="256">
        <v>0.995</v>
      </c>
      <c r="O1" s="82" t="s">
        <v>176</v>
      </c>
      <c r="P1" s="333" t="s">
        <v>566</v>
      </c>
      <c r="Q1" s="82"/>
      <c r="R1" s="82"/>
      <c r="S1" s="82"/>
      <c r="T1" s="82"/>
      <c r="U1" s="82"/>
    </row>
    <row r="2" spans="1:21" x14ac:dyDescent="0.25">
      <c r="A2" s="269" t="s">
        <v>88</v>
      </c>
      <c r="B2" s="276">
        <v>37</v>
      </c>
      <c r="D2" s="26">
        <f>C4+1</f>
        <v>7</v>
      </c>
      <c r="E2" s="41">
        <f>F1-C3</f>
        <v>2.5980762113535505E-3</v>
      </c>
      <c r="F2" s="36"/>
      <c r="G2" s="36"/>
      <c r="J2" s="29">
        <f>0.8525*J1+0.151-0.0035</f>
        <v>0.14749999999999999</v>
      </c>
      <c r="K2" s="26" t="s">
        <v>60</v>
      </c>
      <c r="N2" s="82"/>
      <c r="O2" s="82"/>
      <c r="P2" s="82"/>
      <c r="Q2" s="82"/>
      <c r="R2" s="83"/>
      <c r="S2" s="82"/>
      <c r="T2" s="82"/>
      <c r="U2" s="82"/>
    </row>
    <row r="3" spans="1:21" ht="13.8" thickBot="1" x14ac:dyDescent="0.3">
      <c r="A3" s="270" t="s">
        <v>91</v>
      </c>
      <c r="C3" s="41">
        <f>HLOOKUP($F$1,$D$62:$U$113,(B3+1))</f>
        <v>5</v>
      </c>
      <c r="D3" s="41">
        <f>HLOOKUP($D$2,$D$61:$U$113,(B3+2))</f>
        <v>6</v>
      </c>
      <c r="E3" s="26">
        <f>D3-C3</f>
        <v>1</v>
      </c>
      <c r="F3" s="26">
        <f>IF(E3=0,1,E2/E3)</f>
        <v>2.5980762113535505E-3</v>
      </c>
      <c r="G3" s="32">
        <f>C3+(E3*F3)</f>
        <v>5.0025980762113536</v>
      </c>
      <c r="J3" s="31"/>
      <c r="N3" s="82">
        <f>-SQRT(1-N1^2)</f>
        <v>-9.9874921777190678E-2</v>
      </c>
      <c r="O3" s="82" t="s">
        <v>565</v>
      </c>
      <c r="P3" s="82" t="s">
        <v>567</v>
      </c>
      <c r="Q3" s="82"/>
      <c r="R3" s="82"/>
      <c r="S3" s="82"/>
      <c r="T3" s="82"/>
      <c r="U3" s="82"/>
    </row>
    <row r="4" spans="1:21" ht="13.8" thickBot="1" x14ac:dyDescent="0.3">
      <c r="A4" s="31" t="s">
        <v>90</v>
      </c>
      <c r="B4" s="26">
        <v>1</v>
      </c>
      <c r="C4" s="302">
        <f t="shared" ref="C4:C53" si="0">HLOOKUP($F$1,$D$62:$U$113,(B4+1))</f>
        <v>6</v>
      </c>
      <c r="D4" s="302">
        <f t="shared" ref="D4:D53" si="1">HLOOKUP($D$2,$D$61:$U$113,(B4+2))</f>
        <v>7</v>
      </c>
      <c r="G4" s="27">
        <v>100</v>
      </c>
      <c r="H4" s="81">
        <f>J18</f>
        <v>0</v>
      </c>
      <c r="I4" s="26" t="s">
        <v>53</v>
      </c>
      <c r="J4" s="34">
        <f>Drives!X37</f>
        <v>0</v>
      </c>
      <c r="K4" s="54" t="s">
        <v>142</v>
      </c>
      <c r="N4" s="82"/>
      <c r="O4" s="82"/>
      <c r="P4" s="82"/>
      <c r="Q4" s="82"/>
      <c r="R4" s="82"/>
      <c r="S4" s="82"/>
      <c r="T4" s="82"/>
      <c r="U4" s="82"/>
    </row>
    <row r="5" spans="1:21" ht="13.8" thickBot="1" x14ac:dyDescent="0.3">
      <c r="A5" s="31"/>
      <c r="B5" s="26">
        <v>2</v>
      </c>
      <c r="C5" s="52">
        <f t="shared" si="0"/>
        <v>0.28619552442517132</v>
      </c>
      <c r="D5" s="52">
        <f t="shared" si="1"/>
        <v>0.28619552442517132</v>
      </c>
      <c r="E5" s="48">
        <f t="shared" ref="E5:E53" si="2">D5-C5</f>
        <v>0</v>
      </c>
      <c r="F5" s="48">
        <f t="shared" ref="F5:F53" si="3">E5*$F$3</f>
        <v>0</v>
      </c>
      <c r="G5" s="48">
        <f t="shared" ref="G5:G53" si="4">C5+F5</f>
        <v>0.28619552442517132</v>
      </c>
      <c r="H5" s="30">
        <f>J$2*G5*H$4/100</f>
        <v>0</v>
      </c>
      <c r="J5" s="49">
        <f>Drives!Y37</f>
        <v>0</v>
      </c>
      <c r="K5" s="54" t="s">
        <v>143</v>
      </c>
      <c r="N5" s="82"/>
      <c r="O5" s="82"/>
      <c r="P5" s="82"/>
      <c r="Q5" s="82"/>
      <c r="R5" s="82"/>
      <c r="S5" s="82"/>
      <c r="T5" s="82"/>
      <c r="U5" s="82"/>
    </row>
    <row r="6" spans="1:21" ht="13.8" thickBot="1" x14ac:dyDescent="0.3">
      <c r="A6" s="273" t="s">
        <v>572</v>
      </c>
      <c r="B6" s="26">
        <v>3</v>
      </c>
      <c r="C6" s="52">
        <f t="shared" si="0"/>
        <v>3.9331378172503512E-2</v>
      </c>
      <c r="D6" s="52">
        <f t="shared" si="1"/>
        <v>3.9331378172503512E-2</v>
      </c>
      <c r="E6" s="48">
        <f t="shared" si="2"/>
        <v>0</v>
      </c>
      <c r="F6" s="48">
        <f t="shared" si="3"/>
        <v>0</v>
      </c>
      <c r="G6" s="48">
        <f t="shared" si="4"/>
        <v>3.9331378172503512E-2</v>
      </c>
      <c r="H6" s="30">
        <f t="shared" ref="H6:H53" si="5">J$2*G6*H$4/100</f>
        <v>0</v>
      </c>
    </row>
    <row r="7" spans="1:21" ht="13.8" thickBot="1" x14ac:dyDescent="0.3">
      <c r="A7" s="270" t="s">
        <v>95</v>
      </c>
      <c r="B7" s="26">
        <v>4</v>
      </c>
      <c r="C7" s="52">
        <f t="shared" si="0"/>
        <v>0.25832237935091329</v>
      </c>
      <c r="D7" s="52">
        <f t="shared" si="1"/>
        <v>0.25832237935091329</v>
      </c>
      <c r="E7" s="48">
        <f t="shared" si="2"/>
        <v>0</v>
      </c>
      <c r="F7" s="48">
        <f t="shared" si="3"/>
        <v>0</v>
      </c>
      <c r="G7" s="48">
        <f t="shared" si="4"/>
        <v>0.25832237935091329</v>
      </c>
      <c r="H7" s="30">
        <f t="shared" si="5"/>
        <v>0</v>
      </c>
      <c r="J7" s="34">
        <f>Instructions!E200</f>
        <v>-35</v>
      </c>
      <c r="K7" s="54" t="s">
        <v>144</v>
      </c>
    </row>
    <row r="8" spans="1:21" x14ac:dyDescent="0.25">
      <c r="A8" s="54"/>
      <c r="B8" s="26">
        <v>5</v>
      </c>
      <c r="C8" s="52">
        <f t="shared" si="0"/>
        <v>4.5719220119753627</v>
      </c>
      <c r="D8" s="52">
        <f t="shared" si="1"/>
        <v>4.5719220119753627</v>
      </c>
      <c r="E8" s="48">
        <f t="shared" si="2"/>
        <v>0</v>
      </c>
      <c r="F8" s="48">
        <f t="shared" si="3"/>
        <v>0</v>
      </c>
      <c r="G8" s="48">
        <f t="shared" si="4"/>
        <v>4.5719220119753627</v>
      </c>
      <c r="H8" s="30">
        <f t="shared" si="5"/>
        <v>0</v>
      </c>
      <c r="J8" s="29">
        <f>J7*J4/100</f>
        <v>0</v>
      </c>
      <c r="K8" s="54" t="s">
        <v>409</v>
      </c>
    </row>
    <row r="9" spans="1:21" x14ac:dyDescent="0.25">
      <c r="A9" s="54"/>
      <c r="B9" s="26">
        <v>6</v>
      </c>
      <c r="C9" s="52">
        <f t="shared" si="0"/>
        <v>1.7665872576506276E-2</v>
      </c>
      <c r="D9" s="52">
        <f t="shared" si="1"/>
        <v>1.7665872576506276E-2</v>
      </c>
      <c r="E9" s="48">
        <f t="shared" si="2"/>
        <v>0</v>
      </c>
      <c r="F9" s="48">
        <f t="shared" si="3"/>
        <v>0</v>
      </c>
      <c r="G9" s="48">
        <f t="shared" si="4"/>
        <v>1.7665872576506276E-2</v>
      </c>
      <c r="H9" s="30">
        <f t="shared" si="5"/>
        <v>0</v>
      </c>
      <c r="J9" s="29"/>
    </row>
    <row r="10" spans="1:21" x14ac:dyDescent="0.25">
      <c r="B10" s="26">
        <v>7</v>
      </c>
      <c r="C10" s="52">
        <f t="shared" si="0"/>
        <v>3.2679428242483879</v>
      </c>
      <c r="D10" s="52">
        <f t="shared" si="1"/>
        <v>3.2679428242483879</v>
      </c>
      <c r="E10" s="48">
        <f t="shared" si="2"/>
        <v>0</v>
      </c>
      <c r="F10" s="48">
        <f t="shared" si="3"/>
        <v>0</v>
      </c>
      <c r="G10" s="48">
        <f t="shared" si="4"/>
        <v>3.2679428242483879</v>
      </c>
      <c r="H10" s="30">
        <f t="shared" si="5"/>
        <v>0</v>
      </c>
      <c r="J10" s="29">
        <f>J8</f>
        <v>0</v>
      </c>
      <c r="K10" s="54" t="s">
        <v>145</v>
      </c>
    </row>
    <row r="11" spans="1:21" ht="13.8" thickBot="1" x14ac:dyDescent="0.3">
      <c r="B11" s="26">
        <v>8</v>
      </c>
      <c r="C11" s="52">
        <f t="shared" si="0"/>
        <v>1.7087824401129107E-2</v>
      </c>
      <c r="D11" s="52">
        <f t="shared" si="1"/>
        <v>1.7087824401129107E-2</v>
      </c>
      <c r="E11" s="48">
        <f t="shared" si="2"/>
        <v>0</v>
      </c>
      <c r="F11" s="48">
        <f t="shared" si="3"/>
        <v>0</v>
      </c>
      <c r="G11" s="48">
        <f t="shared" si="4"/>
        <v>1.7087824401129107E-2</v>
      </c>
      <c r="H11" s="30">
        <f t="shared" si="5"/>
        <v>0</v>
      </c>
      <c r="J11" s="26">
        <f>N3*J10</f>
        <v>0</v>
      </c>
      <c r="K11" s="54" t="s">
        <v>146</v>
      </c>
    </row>
    <row r="12" spans="1:21" ht="13.8" thickBot="1" x14ac:dyDescent="0.3">
      <c r="B12" s="26">
        <v>9</v>
      </c>
      <c r="C12" s="52">
        <f t="shared" si="0"/>
        <v>8.3556647673518874E-3</v>
      </c>
      <c r="D12" s="52">
        <f t="shared" si="1"/>
        <v>8.3556647673518874E-3</v>
      </c>
      <c r="E12" s="48">
        <f t="shared" si="2"/>
        <v>0</v>
      </c>
      <c r="F12" s="48">
        <f t="shared" si="3"/>
        <v>0</v>
      </c>
      <c r="G12" s="48">
        <f t="shared" si="4"/>
        <v>8.3556647673518874E-3</v>
      </c>
      <c r="H12" s="30">
        <f t="shared" si="5"/>
        <v>0</v>
      </c>
      <c r="J12" s="256">
        <f>J10-J1*(J10-J11)</f>
        <v>0</v>
      </c>
      <c r="K12" s="54" t="s">
        <v>147</v>
      </c>
    </row>
    <row r="13" spans="1:21" ht="13.8" thickBot="1" x14ac:dyDescent="0.3">
      <c r="B13" s="26">
        <v>10</v>
      </c>
      <c r="C13" s="52">
        <f t="shared" si="0"/>
        <v>4.7045176242947583E-3</v>
      </c>
      <c r="D13" s="52">
        <f t="shared" si="1"/>
        <v>4.7045176242947583E-3</v>
      </c>
      <c r="E13" s="48">
        <f t="shared" si="2"/>
        <v>0</v>
      </c>
      <c r="F13" s="48">
        <f t="shared" si="3"/>
        <v>0</v>
      </c>
      <c r="G13" s="48">
        <f t="shared" si="4"/>
        <v>4.7045176242947583E-3</v>
      </c>
      <c r="H13" s="30">
        <f t="shared" si="5"/>
        <v>0</v>
      </c>
      <c r="J13" s="29"/>
    </row>
    <row r="14" spans="1:21" ht="13.8" thickBot="1" x14ac:dyDescent="0.3">
      <c r="B14" s="26">
        <v>11</v>
      </c>
      <c r="C14" s="52">
        <f t="shared" si="0"/>
        <v>3.0368216090341078</v>
      </c>
      <c r="D14" s="52">
        <f t="shared" si="1"/>
        <v>3.0368216090341078</v>
      </c>
      <c r="E14" s="48">
        <f t="shared" si="2"/>
        <v>0</v>
      </c>
      <c r="F14" s="48">
        <f t="shared" si="3"/>
        <v>0</v>
      </c>
      <c r="G14" s="48">
        <f t="shared" si="4"/>
        <v>3.0368216090341078</v>
      </c>
      <c r="H14" s="30">
        <f t="shared" si="5"/>
        <v>0</v>
      </c>
      <c r="J14" s="34">
        <f>Drives!AN37</f>
        <v>0</v>
      </c>
      <c r="K14" s="54" t="s">
        <v>150</v>
      </c>
    </row>
    <row r="15" spans="1:21" x14ac:dyDescent="0.25">
      <c r="B15" s="26">
        <v>12</v>
      </c>
      <c r="C15" s="52">
        <f t="shared" si="0"/>
        <v>2.941551171915959E-3</v>
      </c>
      <c r="D15" s="52">
        <f t="shared" si="1"/>
        <v>2.941551171915959E-3</v>
      </c>
      <c r="E15" s="48">
        <f t="shared" si="2"/>
        <v>0</v>
      </c>
      <c r="F15" s="48">
        <f t="shared" si="3"/>
        <v>0</v>
      </c>
      <c r="G15" s="48">
        <f t="shared" si="4"/>
        <v>2.941551171915959E-3</v>
      </c>
      <c r="H15" s="30">
        <f t="shared" si="5"/>
        <v>0</v>
      </c>
      <c r="J15" s="29">
        <f>J1*J14</f>
        <v>0</v>
      </c>
      <c r="K15" s="54" t="s">
        <v>151</v>
      </c>
    </row>
    <row r="16" spans="1:21" x14ac:dyDescent="0.25">
      <c r="B16" s="26">
        <v>13</v>
      </c>
      <c r="C16" s="52">
        <f t="shared" si="0"/>
        <v>1.9570846227387695</v>
      </c>
      <c r="D16" s="52">
        <f t="shared" si="1"/>
        <v>1.9570846227387695</v>
      </c>
      <c r="E16" s="48">
        <f t="shared" si="2"/>
        <v>0</v>
      </c>
      <c r="F16" s="48">
        <f t="shared" si="3"/>
        <v>0</v>
      </c>
      <c r="G16" s="48">
        <f t="shared" si="4"/>
        <v>1.9570846227387695</v>
      </c>
      <c r="H16" s="30">
        <f t="shared" si="5"/>
        <v>0</v>
      </c>
    </row>
    <row r="17" spans="2:11" x14ac:dyDescent="0.25">
      <c r="B17" s="26">
        <v>14</v>
      </c>
      <c r="C17" s="52">
        <f t="shared" si="0"/>
        <v>1.0431680962561403E-2</v>
      </c>
      <c r="D17" s="52">
        <f t="shared" si="1"/>
        <v>1.0431680962561403E-2</v>
      </c>
      <c r="E17" s="48">
        <f t="shared" si="2"/>
        <v>0</v>
      </c>
      <c r="F17" s="48">
        <f t="shared" si="3"/>
        <v>0</v>
      </c>
      <c r="G17" s="48">
        <f t="shared" si="4"/>
        <v>1.0431680962561403E-2</v>
      </c>
      <c r="H17" s="30">
        <f t="shared" si="5"/>
        <v>0</v>
      </c>
      <c r="J17" s="277">
        <f>SQRT(SUMSQ(J11,J14))</f>
        <v>0</v>
      </c>
      <c r="K17" s="54" t="s">
        <v>149</v>
      </c>
    </row>
    <row r="18" spans="2:11" x14ac:dyDescent="0.25">
      <c r="B18" s="26">
        <v>15</v>
      </c>
      <c r="C18" s="52">
        <f t="shared" si="0"/>
        <v>1.9438259438821566E-3</v>
      </c>
      <c r="D18" s="52">
        <f t="shared" si="1"/>
        <v>1.9438259438821566E-3</v>
      </c>
      <c r="E18" s="48">
        <f t="shared" si="2"/>
        <v>0</v>
      </c>
      <c r="F18" s="48">
        <f t="shared" si="3"/>
        <v>0</v>
      </c>
      <c r="G18" s="48">
        <f t="shared" si="4"/>
        <v>1.9438259438821566E-3</v>
      </c>
      <c r="H18" s="30">
        <f t="shared" si="5"/>
        <v>0</v>
      </c>
      <c r="J18" s="277">
        <f>SQRT(SUMSQ(J12,J15))</f>
        <v>0</v>
      </c>
      <c r="K18" s="54" t="s">
        <v>148</v>
      </c>
    </row>
    <row r="19" spans="2:11" x14ac:dyDescent="0.25">
      <c r="B19" s="26">
        <v>16</v>
      </c>
      <c r="C19" s="52">
        <f t="shared" si="0"/>
        <v>8.7299806581674182E-3</v>
      </c>
      <c r="D19" s="52">
        <f t="shared" si="1"/>
        <v>8.7299806581674182E-3</v>
      </c>
      <c r="E19" s="48">
        <f t="shared" si="2"/>
        <v>0</v>
      </c>
      <c r="F19" s="48">
        <f t="shared" si="3"/>
        <v>0</v>
      </c>
      <c r="G19" s="48">
        <f t="shared" si="4"/>
        <v>8.7299806581674182E-3</v>
      </c>
      <c r="H19" s="30">
        <f t="shared" si="5"/>
        <v>0</v>
      </c>
    </row>
    <row r="20" spans="2:11" x14ac:dyDescent="0.25">
      <c r="B20" s="26">
        <v>17</v>
      </c>
      <c r="C20" s="52">
        <f t="shared" si="0"/>
        <v>0.97556741973907035</v>
      </c>
      <c r="D20" s="52">
        <f t="shared" si="1"/>
        <v>0.97556741973907035</v>
      </c>
      <c r="E20" s="48">
        <f t="shared" si="2"/>
        <v>0</v>
      </c>
      <c r="F20" s="48">
        <f t="shared" si="3"/>
        <v>0</v>
      </c>
      <c r="G20" s="48">
        <f t="shared" si="4"/>
        <v>0.97556741973907035</v>
      </c>
      <c r="H20" s="30">
        <f t="shared" si="5"/>
        <v>0</v>
      </c>
      <c r="J20" s="29">
        <f>H55</f>
        <v>0</v>
      </c>
      <c r="K20" s="54" t="s">
        <v>152</v>
      </c>
    </row>
    <row r="21" spans="2:11" x14ac:dyDescent="0.25">
      <c r="B21" s="26">
        <v>18</v>
      </c>
      <c r="C21" s="52">
        <f t="shared" si="0"/>
        <v>2.6049046372231049E-3</v>
      </c>
      <c r="D21" s="52">
        <f t="shared" si="1"/>
        <v>2.6049046372231049E-3</v>
      </c>
      <c r="E21" s="48">
        <f t="shared" si="2"/>
        <v>0</v>
      </c>
      <c r="F21" s="48">
        <f t="shared" si="3"/>
        <v>0</v>
      </c>
      <c r="G21" s="48">
        <f t="shared" si="4"/>
        <v>2.6049046372231049E-3</v>
      </c>
      <c r="H21" s="30">
        <f t="shared" si="5"/>
        <v>0</v>
      </c>
      <c r="J21" s="29"/>
    </row>
    <row r="22" spans="2:11" x14ac:dyDescent="0.25">
      <c r="B22" s="26">
        <v>19</v>
      </c>
      <c r="C22" s="52">
        <f t="shared" si="0"/>
        <v>0.91669496793312655</v>
      </c>
      <c r="D22" s="52">
        <f t="shared" si="1"/>
        <v>0.91669496793312655</v>
      </c>
      <c r="E22" s="48">
        <f t="shared" si="2"/>
        <v>0</v>
      </c>
      <c r="F22" s="48">
        <f t="shared" si="3"/>
        <v>0</v>
      </c>
      <c r="G22" s="48">
        <f t="shared" si="4"/>
        <v>0.91669496793312655</v>
      </c>
      <c r="H22" s="30">
        <f t="shared" si="5"/>
        <v>0</v>
      </c>
      <c r="J22" s="29">
        <f>H56</f>
        <v>0</v>
      </c>
      <c r="K22" s="54" t="s">
        <v>153</v>
      </c>
    </row>
    <row r="23" spans="2:11" x14ac:dyDescent="0.25">
      <c r="B23" s="26">
        <v>20</v>
      </c>
      <c r="C23" s="52">
        <f t="shared" si="0"/>
        <v>3.435859316573225E-3</v>
      </c>
      <c r="D23" s="52">
        <f t="shared" si="1"/>
        <v>3.435859316573225E-3</v>
      </c>
      <c r="E23" s="48">
        <f t="shared" si="2"/>
        <v>0</v>
      </c>
      <c r="F23" s="48">
        <f t="shared" si="3"/>
        <v>0</v>
      </c>
      <c r="G23" s="48">
        <f t="shared" si="4"/>
        <v>3.435859316573225E-3</v>
      </c>
      <c r="H23" s="30">
        <f t="shared" si="5"/>
        <v>0</v>
      </c>
    </row>
    <row r="24" spans="2:11" x14ac:dyDescent="0.25">
      <c r="B24" s="26">
        <v>21</v>
      </c>
      <c r="C24" s="52">
        <f t="shared" si="0"/>
        <v>1.5447923339037474E-3</v>
      </c>
      <c r="D24" s="52">
        <f t="shared" si="1"/>
        <v>1.5447923339037474E-3</v>
      </c>
      <c r="E24" s="48">
        <f t="shared" si="2"/>
        <v>0</v>
      </c>
      <c r="F24" s="48">
        <f t="shared" si="3"/>
        <v>0</v>
      </c>
      <c r="G24" s="48">
        <f t="shared" si="4"/>
        <v>1.5447923339037474E-3</v>
      </c>
      <c r="H24" s="30">
        <f t="shared" si="5"/>
        <v>0</v>
      </c>
      <c r="J24" s="32">
        <f>IF(J18=0,0,100*J20/J18)</f>
        <v>0</v>
      </c>
      <c r="K24" s="54" t="s">
        <v>154</v>
      </c>
    </row>
    <row r="25" spans="2:11" x14ac:dyDescent="0.25">
      <c r="B25" s="26">
        <v>22</v>
      </c>
      <c r="C25" s="52">
        <f t="shared" si="0"/>
        <v>5.2234768930876927E-3</v>
      </c>
      <c r="D25" s="52">
        <f t="shared" si="1"/>
        <v>5.2234768930876927E-3</v>
      </c>
      <c r="E25" s="48">
        <f t="shared" si="2"/>
        <v>0</v>
      </c>
      <c r="F25" s="48">
        <f t="shared" si="3"/>
        <v>0</v>
      </c>
      <c r="G25" s="48">
        <f t="shared" si="4"/>
        <v>5.2234768930876927E-3</v>
      </c>
      <c r="H25" s="30">
        <f t="shared" si="5"/>
        <v>0</v>
      </c>
    </row>
    <row r="26" spans="2:11" x14ac:dyDescent="0.25">
      <c r="B26" s="26">
        <v>23</v>
      </c>
      <c r="C26" s="52">
        <f t="shared" si="0"/>
        <v>0.54728015999698587</v>
      </c>
      <c r="D26" s="52">
        <f t="shared" si="1"/>
        <v>0.54728015999698587</v>
      </c>
      <c r="E26" s="48">
        <f t="shared" si="2"/>
        <v>0</v>
      </c>
      <c r="F26" s="48">
        <f t="shared" si="3"/>
        <v>0</v>
      </c>
      <c r="G26" s="48">
        <f t="shared" si="4"/>
        <v>0.54728015999698587</v>
      </c>
      <c r="H26" s="30">
        <f t="shared" si="5"/>
        <v>0</v>
      </c>
    </row>
    <row r="27" spans="2:11" x14ac:dyDescent="0.25">
      <c r="B27" s="26">
        <v>24</v>
      </c>
      <c r="C27" s="52">
        <f t="shared" si="0"/>
        <v>7.3680970634069551E-4</v>
      </c>
      <c r="D27" s="52">
        <f t="shared" si="1"/>
        <v>7.3680970634069551E-4</v>
      </c>
      <c r="E27" s="48">
        <f t="shared" si="2"/>
        <v>0</v>
      </c>
      <c r="F27" s="48">
        <f t="shared" si="3"/>
        <v>0</v>
      </c>
      <c r="G27" s="48">
        <f t="shared" si="4"/>
        <v>7.3680970634069551E-4</v>
      </c>
      <c r="H27" s="30">
        <f t="shared" si="5"/>
        <v>0</v>
      </c>
    </row>
    <row r="28" spans="2:11" x14ac:dyDescent="0.25">
      <c r="B28" s="26">
        <v>25</v>
      </c>
      <c r="C28" s="52">
        <f t="shared" si="0"/>
        <v>0.43940078480783862</v>
      </c>
      <c r="D28" s="52">
        <f t="shared" si="1"/>
        <v>0.43940078480783862</v>
      </c>
      <c r="E28" s="48">
        <f t="shared" si="2"/>
        <v>0</v>
      </c>
      <c r="F28" s="48">
        <f t="shared" si="3"/>
        <v>0</v>
      </c>
      <c r="G28" s="48">
        <f t="shared" si="4"/>
        <v>0.43940078480783862</v>
      </c>
      <c r="H28" s="30">
        <f t="shared" si="5"/>
        <v>0</v>
      </c>
    </row>
    <row r="29" spans="2:11" x14ac:dyDescent="0.25">
      <c r="B29" s="26">
        <v>26</v>
      </c>
      <c r="C29" s="52">
        <f t="shared" si="0"/>
        <v>3.7751212107922064E-3</v>
      </c>
      <c r="D29" s="52">
        <f t="shared" si="1"/>
        <v>3.7751212107922064E-3</v>
      </c>
      <c r="E29" s="48">
        <f t="shared" si="2"/>
        <v>0</v>
      </c>
      <c r="F29" s="48">
        <f t="shared" si="3"/>
        <v>0</v>
      </c>
      <c r="G29" s="48">
        <f t="shared" si="4"/>
        <v>3.7751212107922064E-3</v>
      </c>
      <c r="H29" s="30">
        <f t="shared" si="5"/>
        <v>0</v>
      </c>
    </row>
    <row r="30" spans="2:11" x14ac:dyDescent="0.25">
      <c r="B30" s="26">
        <v>27</v>
      </c>
      <c r="C30" s="52">
        <f t="shared" si="0"/>
        <v>1.4495834471926639E-3</v>
      </c>
      <c r="D30" s="52">
        <f t="shared" si="1"/>
        <v>1.4495834471926639E-3</v>
      </c>
      <c r="E30" s="48">
        <f t="shared" si="2"/>
        <v>0</v>
      </c>
      <c r="F30" s="48">
        <f t="shared" si="3"/>
        <v>0</v>
      </c>
      <c r="G30" s="48">
        <f t="shared" si="4"/>
        <v>1.4495834471926639E-3</v>
      </c>
      <c r="H30" s="30">
        <f t="shared" si="5"/>
        <v>0</v>
      </c>
    </row>
    <row r="31" spans="2:11" x14ac:dyDescent="0.25">
      <c r="B31" s="26">
        <v>28</v>
      </c>
      <c r="C31" s="52">
        <f t="shared" si="0"/>
        <v>2.3110476540801942E-3</v>
      </c>
      <c r="D31" s="52">
        <f t="shared" si="1"/>
        <v>2.3110476540801942E-3</v>
      </c>
      <c r="E31" s="48">
        <f t="shared" si="2"/>
        <v>0</v>
      </c>
      <c r="F31" s="48">
        <f t="shared" si="3"/>
        <v>0</v>
      </c>
      <c r="G31" s="48">
        <f t="shared" si="4"/>
        <v>2.3110476540801942E-3</v>
      </c>
      <c r="H31" s="30">
        <f t="shared" si="5"/>
        <v>0</v>
      </c>
    </row>
    <row r="32" spans="2:11" x14ac:dyDescent="0.25">
      <c r="B32" s="26">
        <v>29</v>
      </c>
      <c r="C32" s="52">
        <f t="shared" si="0"/>
        <v>0.3963313525386255</v>
      </c>
      <c r="D32" s="52">
        <f t="shared" si="1"/>
        <v>0.3963313525386255</v>
      </c>
      <c r="E32" s="48">
        <f t="shared" si="2"/>
        <v>0</v>
      </c>
      <c r="F32" s="48">
        <f t="shared" si="3"/>
        <v>0</v>
      </c>
      <c r="G32" s="48">
        <f t="shared" si="4"/>
        <v>0.3963313525386255</v>
      </c>
      <c r="H32" s="30">
        <f t="shared" si="5"/>
        <v>0</v>
      </c>
    </row>
    <row r="33" spans="2:8" x14ac:dyDescent="0.25">
      <c r="B33" s="26">
        <v>30</v>
      </c>
      <c r="C33" s="52">
        <f t="shared" si="0"/>
        <v>1.1456898686147282E-3</v>
      </c>
      <c r="D33" s="52">
        <f t="shared" si="1"/>
        <v>1.1456898686147282E-3</v>
      </c>
      <c r="E33" s="48">
        <f t="shared" si="2"/>
        <v>0</v>
      </c>
      <c r="F33" s="48">
        <f t="shared" si="3"/>
        <v>0</v>
      </c>
      <c r="G33" s="48">
        <f t="shared" si="4"/>
        <v>1.1456898686147282E-3</v>
      </c>
      <c r="H33" s="30">
        <f t="shared" si="5"/>
        <v>0</v>
      </c>
    </row>
    <row r="34" spans="2:8" x14ac:dyDescent="0.25">
      <c r="B34" s="26">
        <v>31</v>
      </c>
      <c r="C34" s="52">
        <f t="shared" si="0"/>
        <v>0.32607670833414099</v>
      </c>
      <c r="D34" s="52">
        <f t="shared" si="1"/>
        <v>0.32607670833414099</v>
      </c>
      <c r="E34" s="48">
        <f t="shared" si="2"/>
        <v>0</v>
      </c>
      <c r="F34" s="48">
        <f t="shared" si="3"/>
        <v>0</v>
      </c>
      <c r="G34" s="48">
        <f t="shared" si="4"/>
        <v>0.32607670833414099</v>
      </c>
      <c r="H34" s="30">
        <f t="shared" si="5"/>
        <v>0</v>
      </c>
    </row>
    <row r="35" spans="2:8" x14ac:dyDescent="0.25">
      <c r="B35" s="26">
        <v>32</v>
      </c>
      <c r="C35" s="52">
        <f t="shared" si="0"/>
        <v>3.8605744529385381E-3</v>
      </c>
      <c r="D35" s="52">
        <f t="shared" si="1"/>
        <v>3.8605744529385381E-3</v>
      </c>
      <c r="E35" s="48">
        <f t="shared" si="2"/>
        <v>0</v>
      </c>
      <c r="F35" s="48">
        <f t="shared" si="3"/>
        <v>0</v>
      </c>
      <c r="G35" s="48">
        <f t="shared" si="4"/>
        <v>3.8605744529385381E-3</v>
      </c>
      <c r="H35" s="30">
        <f t="shared" si="5"/>
        <v>0</v>
      </c>
    </row>
    <row r="36" spans="2:8" x14ac:dyDescent="0.25">
      <c r="B36" s="26">
        <v>33</v>
      </c>
      <c r="C36" s="52">
        <f t="shared" si="0"/>
        <v>3.4023321909248342E-4</v>
      </c>
      <c r="D36" s="52">
        <f t="shared" si="1"/>
        <v>3.4023321909248342E-4</v>
      </c>
      <c r="E36" s="48">
        <f t="shared" si="2"/>
        <v>0</v>
      </c>
      <c r="F36" s="48">
        <f t="shared" si="3"/>
        <v>0</v>
      </c>
      <c r="G36" s="48">
        <f t="shared" si="4"/>
        <v>3.4023321909248342E-4</v>
      </c>
      <c r="H36" s="30">
        <f t="shared" si="5"/>
        <v>0</v>
      </c>
    </row>
    <row r="37" spans="2:8" x14ac:dyDescent="0.25">
      <c r="B37" s="26">
        <v>34</v>
      </c>
      <c r="C37" s="52">
        <f t="shared" si="0"/>
        <v>3.8157489616518327E-3</v>
      </c>
      <c r="D37" s="52">
        <f t="shared" si="1"/>
        <v>3.8157489616518327E-3</v>
      </c>
      <c r="E37" s="48">
        <f t="shared" si="2"/>
        <v>0</v>
      </c>
      <c r="F37" s="48">
        <f t="shared" si="3"/>
        <v>0</v>
      </c>
      <c r="G37" s="48">
        <f t="shared" si="4"/>
        <v>3.8157489616518327E-3</v>
      </c>
      <c r="H37" s="30">
        <f t="shared" si="5"/>
        <v>0</v>
      </c>
    </row>
    <row r="38" spans="2:8" x14ac:dyDescent="0.25">
      <c r="B38" s="26">
        <v>35</v>
      </c>
      <c r="C38" s="52">
        <f t="shared" si="0"/>
        <v>0.24451630774160321</v>
      </c>
      <c r="D38" s="52">
        <f t="shared" si="1"/>
        <v>0.24451630774160321</v>
      </c>
      <c r="E38" s="48">
        <f t="shared" si="2"/>
        <v>0</v>
      </c>
      <c r="F38" s="48">
        <f t="shared" si="3"/>
        <v>0</v>
      </c>
      <c r="G38" s="48">
        <f t="shared" si="4"/>
        <v>0.24451630774160321</v>
      </c>
      <c r="H38" s="30">
        <f t="shared" si="5"/>
        <v>0</v>
      </c>
    </row>
    <row r="39" spans="2:8" x14ac:dyDescent="0.25">
      <c r="B39" s="26">
        <v>36</v>
      </c>
      <c r="C39" s="52">
        <f t="shared" si="0"/>
        <v>8.7250209878513821E-4</v>
      </c>
      <c r="D39" s="52">
        <f t="shared" si="1"/>
        <v>8.7250209878513821E-4</v>
      </c>
      <c r="E39" s="48">
        <f t="shared" si="2"/>
        <v>0</v>
      </c>
      <c r="F39" s="48">
        <f t="shared" si="3"/>
        <v>0</v>
      </c>
      <c r="G39" s="48">
        <f t="shared" si="4"/>
        <v>8.7250209878513821E-4</v>
      </c>
      <c r="H39" s="30">
        <f t="shared" si="5"/>
        <v>0</v>
      </c>
    </row>
    <row r="40" spans="2:8" x14ac:dyDescent="0.25">
      <c r="B40" s="26">
        <v>37</v>
      </c>
      <c r="C40" s="52">
        <f t="shared" si="0"/>
        <v>0.23543438946520875</v>
      </c>
      <c r="D40" s="52">
        <f t="shared" si="1"/>
        <v>0.23543438946520875</v>
      </c>
      <c r="E40" s="48">
        <f t="shared" si="2"/>
        <v>0</v>
      </c>
      <c r="F40" s="48">
        <f t="shared" si="3"/>
        <v>0</v>
      </c>
      <c r="G40" s="48">
        <f t="shared" si="4"/>
        <v>0.23543438946520875</v>
      </c>
      <c r="H40" s="30">
        <f t="shared" si="5"/>
        <v>0</v>
      </c>
    </row>
    <row r="41" spans="2:8" x14ac:dyDescent="0.25">
      <c r="B41" s="26">
        <v>38</v>
      </c>
      <c r="C41" s="52">
        <f t="shared" si="0"/>
        <v>1.6183478666675756E-3</v>
      </c>
      <c r="D41" s="52">
        <f t="shared" si="1"/>
        <v>1.6183478666675756E-3</v>
      </c>
      <c r="E41" s="48">
        <f t="shared" si="2"/>
        <v>0</v>
      </c>
      <c r="F41" s="48">
        <f t="shared" si="3"/>
        <v>0</v>
      </c>
      <c r="G41" s="48">
        <f t="shared" si="4"/>
        <v>1.6183478666675756E-3</v>
      </c>
      <c r="H41" s="30">
        <f t="shared" si="5"/>
        <v>0</v>
      </c>
    </row>
    <row r="42" spans="2:8" x14ac:dyDescent="0.25">
      <c r="B42" s="26">
        <v>39</v>
      </c>
      <c r="C42" s="52">
        <f t="shared" si="0"/>
        <v>9.185567866939635E-4</v>
      </c>
      <c r="D42" s="52">
        <f t="shared" si="1"/>
        <v>9.185567866939635E-4</v>
      </c>
      <c r="E42" s="48">
        <f t="shared" si="2"/>
        <v>0</v>
      </c>
      <c r="F42" s="48">
        <f t="shared" si="3"/>
        <v>0</v>
      </c>
      <c r="G42" s="48">
        <f t="shared" si="4"/>
        <v>9.185567866939635E-4</v>
      </c>
      <c r="H42" s="30">
        <f t="shared" si="5"/>
        <v>0</v>
      </c>
    </row>
    <row r="43" spans="2:8" x14ac:dyDescent="0.25">
      <c r="B43" s="26">
        <v>40</v>
      </c>
      <c r="C43" s="52">
        <f t="shared" si="0"/>
        <v>2.1858846677240097E-3</v>
      </c>
      <c r="D43" s="52">
        <f t="shared" si="1"/>
        <v>2.1858846677240097E-3</v>
      </c>
      <c r="E43" s="48">
        <f t="shared" si="2"/>
        <v>0</v>
      </c>
      <c r="F43" s="48">
        <f t="shared" si="3"/>
        <v>0</v>
      </c>
      <c r="G43" s="48">
        <f t="shared" si="4"/>
        <v>2.1858846677240097E-3</v>
      </c>
      <c r="H43" s="30">
        <f t="shared" si="5"/>
        <v>0</v>
      </c>
    </row>
    <row r="44" spans="2:8" x14ac:dyDescent="0.25">
      <c r="B44" s="26">
        <v>41</v>
      </c>
      <c r="C44" s="52">
        <f t="shared" si="0"/>
        <v>0.17547159923874317</v>
      </c>
      <c r="D44" s="52">
        <f t="shared" si="1"/>
        <v>0.17547159923874317</v>
      </c>
      <c r="E44" s="48">
        <f t="shared" si="2"/>
        <v>0</v>
      </c>
      <c r="F44" s="48">
        <f t="shared" si="3"/>
        <v>0</v>
      </c>
      <c r="G44" s="48">
        <f t="shared" si="4"/>
        <v>0.17547159923874317</v>
      </c>
      <c r="H44" s="30">
        <f t="shared" si="5"/>
        <v>0</v>
      </c>
    </row>
    <row r="45" spans="2:8" x14ac:dyDescent="0.25">
      <c r="B45" s="26">
        <v>42</v>
      </c>
      <c r="C45" s="52">
        <f t="shared" si="0"/>
        <v>3.3318242250443119E-4</v>
      </c>
      <c r="D45" s="52">
        <f t="shared" si="1"/>
        <v>3.3318242250443119E-4</v>
      </c>
      <c r="E45" s="48">
        <f t="shared" si="2"/>
        <v>0</v>
      </c>
      <c r="F45" s="48">
        <f t="shared" si="3"/>
        <v>0</v>
      </c>
      <c r="G45" s="48">
        <f t="shared" si="4"/>
        <v>3.3318242250443119E-4</v>
      </c>
      <c r="H45" s="30">
        <f t="shared" si="5"/>
        <v>0</v>
      </c>
    </row>
    <row r="46" spans="2:8" x14ac:dyDescent="0.25">
      <c r="B46" s="26">
        <v>43</v>
      </c>
      <c r="C46" s="52">
        <f t="shared" si="0"/>
        <v>0.15608759842752892</v>
      </c>
      <c r="D46" s="52">
        <f t="shared" si="1"/>
        <v>0.15608759842752892</v>
      </c>
      <c r="E46" s="48">
        <f t="shared" si="2"/>
        <v>0</v>
      </c>
      <c r="F46" s="48">
        <f t="shared" si="3"/>
        <v>0</v>
      </c>
      <c r="G46" s="48">
        <f t="shared" si="4"/>
        <v>0.15608759842752892</v>
      </c>
      <c r="H46" s="30">
        <f t="shared" si="5"/>
        <v>0</v>
      </c>
    </row>
    <row r="47" spans="2:8" x14ac:dyDescent="0.25">
      <c r="B47" s="26">
        <v>44</v>
      </c>
      <c r="C47" s="52">
        <f t="shared" si="0"/>
        <v>2.5667229971283612E-3</v>
      </c>
      <c r="D47" s="52">
        <f t="shared" si="1"/>
        <v>2.5667229971283612E-3</v>
      </c>
      <c r="E47" s="48">
        <f t="shared" si="2"/>
        <v>0</v>
      </c>
      <c r="F47" s="48">
        <f t="shared" si="3"/>
        <v>0</v>
      </c>
      <c r="G47" s="48">
        <f t="shared" si="4"/>
        <v>2.5667229971283612E-3</v>
      </c>
      <c r="H47" s="30">
        <f t="shared" si="5"/>
        <v>0</v>
      </c>
    </row>
    <row r="48" spans="2:8" x14ac:dyDescent="0.25">
      <c r="B48" s="26">
        <v>45</v>
      </c>
      <c r="C48" s="52">
        <f t="shared" si="0"/>
        <v>4.8874784462613172E-4</v>
      </c>
      <c r="D48" s="52">
        <f t="shared" si="1"/>
        <v>4.8874784462613172E-4</v>
      </c>
      <c r="E48" s="48">
        <f t="shared" si="2"/>
        <v>0</v>
      </c>
      <c r="F48" s="48">
        <f t="shared" si="3"/>
        <v>0</v>
      </c>
      <c r="G48" s="48">
        <f t="shared" si="4"/>
        <v>4.8874784462613172E-4</v>
      </c>
      <c r="H48" s="30">
        <f t="shared" si="5"/>
        <v>0</v>
      </c>
    </row>
    <row r="49" spans="1:21" x14ac:dyDescent="0.25">
      <c r="B49" s="26">
        <v>46</v>
      </c>
      <c r="C49" s="52">
        <f t="shared" si="0"/>
        <v>1.9607183482972614E-3</v>
      </c>
      <c r="D49" s="52">
        <f t="shared" si="1"/>
        <v>1.9607183482972614E-3</v>
      </c>
      <c r="E49" s="48">
        <f t="shared" si="2"/>
        <v>0</v>
      </c>
      <c r="F49" s="48">
        <f t="shared" si="3"/>
        <v>0</v>
      </c>
      <c r="G49" s="48">
        <f t="shared" si="4"/>
        <v>1.9607183482972614E-3</v>
      </c>
      <c r="H49" s="30">
        <f t="shared" si="5"/>
        <v>0</v>
      </c>
    </row>
    <row r="50" spans="1:21" x14ac:dyDescent="0.25">
      <c r="B50" s="26">
        <v>47</v>
      </c>
      <c r="C50" s="52">
        <f t="shared" si="0"/>
        <v>0.14694847120206758</v>
      </c>
      <c r="D50" s="52">
        <f t="shared" si="1"/>
        <v>0.14694847120206758</v>
      </c>
      <c r="E50" s="48">
        <f t="shared" si="2"/>
        <v>0</v>
      </c>
      <c r="F50" s="48">
        <f t="shared" si="3"/>
        <v>0</v>
      </c>
      <c r="G50" s="48">
        <f t="shared" si="4"/>
        <v>0.14694847120206758</v>
      </c>
      <c r="H50" s="30">
        <f t="shared" si="5"/>
        <v>0</v>
      </c>
    </row>
    <row r="51" spans="1:21" x14ac:dyDescent="0.25">
      <c r="B51" s="26">
        <v>48</v>
      </c>
      <c r="C51" s="52">
        <f t="shared" si="0"/>
        <v>6.9770854637783025E-4</v>
      </c>
      <c r="D51" s="52">
        <f t="shared" si="1"/>
        <v>6.9770854637783025E-4</v>
      </c>
      <c r="E51" s="48">
        <f t="shared" si="2"/>
        <v>0</v>
      </c>
      <c r="F51" s="48">
        <f t="shared" si="3"/>
        <v>0</v>
      </c>
      <c r="G51" s="48">
        <f t="shared" si="4"/>
        <v>6.9770854637783025E-4</v>
      </c>
      <c r="H51" s="30">
        <f t="shared" si="5"/>
        <v>0</v>
      </c>
    </row>
    <row r="52" spans="1:21" x14ac:dyDescent="0.25">
      <c r="B52" s="26">
        <v>49</v>
      </c>
      <c r="C52" s="52">
        <f t="shared" si="0"/>
        <v>0.1285636927397576</v>
      </c>
      <c r="D52" s="52">
        <f t="shared" si="1"/>
        <v>0.1285636927397576</v>
      </c>
      <c r="E52" s="48">
        <f t="shared" si="2"/>
        <v>0</v>
      </c>
      <c r="F52" s="48">
        <f t="shared" si="3"/>
        <v>0</v>
      </c>
      <c r="G52" s="48">
        <f t="shared" si="4"/>
        <v>0.1285636927397576</v>
      </c>
      <c r="H52" s="30">
        <f t="shared" si="5"/>
        <v>0</v>
      </c>
    </row>
    <row r="53" spans="1:21" x14ac:dyDescent="0.25">
      <c r="B53" s="26">
        <v>50</v>
      </c>
      <c r="C53" s="52">
        <f t="shared" si="0"/>
        <v>1.9604515777626825E-3</v>
      </c>
      <c r="D53" s="52">
        <f t="shared" si="1"/>
        <v>1.9604515777626825E-3</v>
      </c>
      <c r="E53" s="48">
        <f t="shared" si="2"/>
        <v>0</v>
      </c>
      <c r="F53" s="48">
        <f t="shared" si="3"/>
        <v>0</v>
      </c>
      <c r="G53" s="48">
        <f t="shared" si="4"/>
        <v>1.9604515777626825E-3</v>
      </c>
      <c r="H53" s="30">
        <f t="shared" si="5"/>
        <v>0</v>
      </c>
    </row>
    <row r="54" spans="1:21" x14ac:dyDescent="0.25">
      <c r="C54" s="41"/>
      <c r="D54" s="41"/>
    </row>
    <row r="55" spans="1:21" x14ac:dyDescent="0.25">
      <c r="F55" s="26" t="s">
        <v>85</v>
      </c>
      <c r="G55" s="29">
        <f>SQRT(SUMSQ(G5:G53))</f>
        <v>6.8950808179798431</v>
      </c>
      <c r="H55" s="29">
        <f>SQRT(SUMSQ(H5:H53))</f>
        <v>0</v>
      </c>
      <c r="I55" s="26" t="s">
        <v>52</v>
      </c>
    </row>
    <row r="56" spans="1:21" x14ac:dyDescent="0.25">
      <c r="F56" s="26" t="s">
        <v>86</v>
      </c>
      <c r="G56" s="29">
        <f>SQRT(SUMSQ(G4:G53))</f>
        <v>100.23742883517352</v>
      </c>
      <c r="H56" s="29">
        <f>SQRT(SUMSQ(H4:H53))</f>
        <v>0</v>
      </c>
      <c r="I56" s="26" t="s">
        <v>54</v>
      </c>
    </row>
    <row r="57" spans="1:21" x14ac:dyDescent="0.25">
      <c r="G57" s="26" t="s">
        <v>87</v>
      </c>
      <c r="H57" s="26" t="s">
        <v>13</v>
      </c>
    </row>
    <row r="59" spans="1:21" ht="14.4" x14ac:dyDescent="0.3">
      <c r="A59" s="25" t="s">
        <v>63</v>
      </c>
      <c r="C59"/>
      <c r="D59"/>
      <c r="E59"/>
      <c r="F59"/>
      <c r="G59"/>
      <c r="H59"/>
      <c r="I59"/>
      <c r="J59"/>
      <c r="K59"/>
      <c r="L59"/>
      <c r="M59"/>
      <c r="N59"/>
      <c r="O59"/>
      <c r="P59"/>
      <c r="Q59"/>
      <c r="R59"/>
      <c r="S59"/>
      <c r="T59"/>
      <c r="U59"/>
    </row>
    <row r="60" spans="1:21" ht="14.4" x14ac:dyDescent="0.3">
      <c r="C60" s="1" t="s">
        <v>478</v>
      </c>
      <c r="D60" s="7">
        <f>100/D62</f>
        <v>1000</v>
      </c>
      <c r="E60" s="7">
        <f t="shared" ref="E60:U60" si="6">100/E62</f>
        <v>200</v>
      </c>
      <c r="F60" s="7">
        <f t="shared" si="6"/>
        <v>100</v>
      </c>
      <c r="G60" s="7">
        <f t="shared" si="6"/>
        <v>50</v>
      </c>
      <c r="H60" s="7">
        <f t="shared" si="6"/>
        <v>33.333333333333336</v>
      </c>
      <c r="I60" s="7">
        <f t="shared" si="6"/>
        <v>25</v>
      </c>
      <c r="J60" s="7">
        <f t="shared" si="6"/>
        <v>20</v>
      </c>
      <c r="K60" s="7">
        <f t="shared" si="6"/>
        <v>16.666666666666668</v>
      </c>
      <c r="L60" s="7">
        <f t="shared" si="6"/>
        <v>14.285714285714286</v>
      </c>
      <c r="M60" s="7">
        <f t="shared" si="6"/>
        <v>12.5</v>
      </c>
      <c r="N60" s="7">
        <f t="shared" si="6"/>
        <v>10</v>
      </c>
      <c r="O60" s="7">
        <f t="shared" si="6"/>
        <v>8.3333333333333339</v>
      </c>
      <c r="P60" s="7">
        <f t="shared" si="6"/>
        <v>7.1428571428571432</v>
      </c>
      <c r="Q60" s="7">
        <f t="shared" si="6"/>
        <v>5.5555555555555554</v>
      </c>
      <c r="R60" s="7">
        <f t="shared" si="6"/>
        <v>4.7619047619047619</v>
      </c>
      <c r="S60" s="7">
        <f t="shared" si="6"/>
        <v>1</v>
      </c>
      <c r="T60" s="7">
        <f t="shared" si="6"/>
        <v>0.1</v>
      </c>
      <c r="U60" s="7">
        <f t="shared" si="6"/>
        <v>0.01</v>
      </c>
    </row>
    <row r="61" spans="1:21" ht="14.4" x14ac:dyDescent="0.3">
      <c r="C61" s="1" t="s">
        <v>64</v>
      </c>
      <c r="D61">
        <v>0</v>
      </c>
      <c r="E61">
        <v>1</v>
      </c>
      <c r="F61">
        <v>2</v>
      </c>
      <c r="G61">
        <v>3</v>
      </c>
      <c r="H61">
        <v>4</v>
      </c>
      <c r="I61">
        <v>5</v>
      </c>
      <c r="J61">
        <v>6</v>
      </c>
      <c r="K61">
        <v>7</v>
      </c>
      <c r="L61">
        <v>8</v>
      </c>
      <c r="M61">
        <v>9</v>
      </c>
      <c r="N61">
        <v>10</v>
      </c>
      <c r="O61">
        <v>11</v>
      </c>
      <c r="P61">
        <v>12</v>
      </c>
      <c r="Q61">
        <v>13</v>
      </c>
      <c r="R61">
        <v>14</v>
      </c>
      <c r="S61">
        <v>15</v>
      </c>
      <c r="T61">
        <v>16</v>
      </c>
      <c r="U61">
        <v>17</v>
      </c>
    </row>
    <row r="62" spans="1:21" ht="14.4" x14ac:dyDescent="0.3">
      <c r="A62" s="26" t="s">
        <v>65</v>
      </c>
      <c r="B62" s="54"/>
      <c r="C62" s="216" t="s">
        <v>1</v>
      </c>
      <c r="D62" s="296">
        <v>0.1</v>
      </c>
      <c r="E62" s="296">
        <v>0.5</v>
      </c>
      <c r="F62" s="296">
        <v>1</v>
      </c>
      <c r="G62" s="296">
        <v>2</v>
      </c>
      <c r="H62" s="296">
        <v>3</v>
      </c>
      <c r="I62" s="296">
        <v>4</v>
      </c>
      <c r="J62" s="296">
        <v>5</v>
      </c>
      <c r="K62" s="296">
        <v>6</v>
      </c>
      <c r="L62" s="296">
        <v>7</v>
      </c>
      <c r="M62" s="296">
        <v>8</v>
      </c>
      <c r="N62" s="296">
        <v>10</v>
      </c>
      <c r="O62" s="296">
        <v>12</v>
      </c>
      <c r="P62" s="296">
        <v>14</v>
      </c>
      <c r="Q62" s="296">
        <v>18</v>
      </c>
      <c r="R62" s="296">
        <v>21</v>
      </c>
      <c r="S62" s="296">
        <v>100</v>
      </c>
      <c r="T62" s="296">
        <v>1000</v>
      </c>
      <c r="U62" s="296">
        <v>10000</v>
      </c>
    </row>
    <row r="63" spans="1:21" ht="14.4" x14ac:dyDescent="0.3">
      <c r="A63" s="31"/>
      <c r="C63" s="1" t="s">
        <v>64</v>
      </c>
      <c r="D63">
        <v>0</v>
      </c>
      <c r="E63">
        <v>1</v>
      </c>
      <c r="F63">
        <v>2</v>
      </c>
      <c r="G63">
        <v>3</v>
      </c>
      <c r="H63">
        <v>4</v>
      </c>
      <c r="I63">
        <v>5</v>
      </c>
      <c r="J63">
        <v>6</v>
      </c>
      <c r="K63">
        <v>7</v>
      </c>
      <c r="L63">
        <v>8</v>
      </c>
      <c r="M63">
        <v>9</v>
      </c>
      <c r="N63">
        <v>10</v>
      </c>
      <c r="O63">
        <v>11</v>
      </c>
      <c r="P63">
        <v>12</v>
      </c>
      <c r="Q63">
        <v>13</v>
      </c>
      <c r="R63">
        <v>14</v>
      </c>
      <c r="S63">
        <v>15</v>
      </c>
      <c r="T63">
        <v>16</v>
      </c>
      <c r="U63">
        <v>17</v>
      </c>
    </row>
    <row r="64" spans="1:21" ht="14.4" x14ac:dyDescent="0.3">
      <c r="A64" s="43">
        <v>2</v>
      </c>
      <c r="B64" s="43"/>
      <c r="C64"/>
      <c r="D64" s="298">
        <v>0.32933224115012466</v>
      </c>
      <c r="E64" s="298">
        <v>0.31535428582675035</v>
      </c>
      <c r="F64" s="298">
        <v>0.30141780811561159</v>
      </c>
      <c r="G64" s="298">
        <v>0.28743985279223727</v>
      </c>
      <c r="H64" s="298">
        <v>0.28619552442517132</v>
      </c>
      <c r="I64" s="298">
        <v>0.28619552442517132</v>
      </c>
      <c r="J64" s="298">
        <v>0.28619552442517132</v>
      </c>
      <c r="K64" s="298">
        <v>0.28619552442517132</v>
      </c>
      <c r="L64" s="298">
        <v>0.28619552442517132</v>
      </c>
      <c r="M64" s="298">
        <v>0.28619552442517132</v>
      </c>
      <c r="N64" s="298">
        <v>0.28619552442517132</v>
      </c>
      <c r="O64" s="298">
        <v>0.28619552442517132</v>
      </c>
      <c r="P64" s="298">
        <v>0.28619552442517132</v>
      </c>
      <c r="Q64" s="298">
        <v>0.28619552442517132</v>
      </c>
      <c r="R64" s="298">
        <v>0.28619552442517132</v>
      </c>
      <c r="S64" s="298">
        <v>0.28619552442517132</v>
      </c>
      <c r="T64" s="298">
        <v>0.28619552442517132</v>
      </c>
      <c r="U64" s="298">
        <v>0.28619552442517132</v>
      </c>
    </row>
    <row r="65" spans="1:21" ht="14.4" x14ac:dyDescent="0.3">
      <c r="A65" s="43">
        <v>3</v>
      </c>
      <c r="B65" s="43"/>
      <c r="C65"/>
      <c r="D65" s="298">
        <v>4.5259585897054762E-2</v>
      </c>
      <c r="E65" s="298">
        <v>4.3338618586310745E-2</v>
      </c>
      <c r="F65" s="298">
        <v>4.1423351475301885E-2</v>
      </c>
      <c r="G65" s="298">
        <v>3.9502384164557869E-2</v>
      </c>
      <c r="H65" s="298">
        <v>3.9331378172503512E-2</v>
      </c>
      <c r="I65" s="298">
        <v>3.9331378172503512E-2</v>
      </c>
      <c r="J65" s="298">
        <v>3.9331378172503512E-2</v>
      </c>
      <c r="K65" s="298">
        <v>3.9331378172503512E-2</v>
      </c>
      <c r="L65" s="298">
        <v>3.9331378172503512E-2</v>
      </c>
      <c r="M65" s="298">
        <v>3.9331378172503512E-2</v>
      </c>
      <c r="N65" s="298">
        <v>3.9331378172503512E-2</v>
      </c>
      <c r="O65" s="298">
        <v>3.9331378172503512E-2</v>
      </c>
      <c r="P65" s="298">
        <v>3.9331378172503512E-2</v>
      </c>
      <c r="Q65" s="298">
        <v>3.9331378172503512E-2</v>
      </c>
      <c r="R65" s="298">
        <v>3.9331378172503512E-2</v>
      </c>
      <c r="S65" s="298">
        <v>3.9331378172503512E-2</v>
      </c>
      <c r="T65" s="298">
        <v>3.9331378172503512E-2</v>
      </c>
      <c r="U65" s="298">
        <v>3.9331378172503512E-2</v>
      </c>
    </row>
    <row r="66" spans="1:21" ht="14.4" x14ac:dyDescent="0.3">
      <c r="A66" s="43">
        <v>4</v>
      </c>
      <c r="B66" s="43"/>
      <c r="C66"/>
      <c r="D66" s="298">
        <v>0.29725792638351467</v>
      </c>
      <c r="E66" s="298">
        <v>0.2846413116239121</v>
      </c>
      <c r="F66" s="298">
        <v>0.27206213489030245</v>
      </c>
      <c r="G66" s="298">
        <v>0.25944552013069982</v>
      </c>
      <c r="H66" s="298">
        <v>0.25832237935091329</v>
      </c>
      <c r="I66" s="298">
        <v>0.25832237935091329</v>
      </c>
      <c r="J66" s="298">
        <v>0.25832237935091329</v>
      </c>
      <c r="K66" s="298">
        <v>0.25832237935091329</v>
      </c>
      <c r="L66" s="298">
        <v>0.25832237935091329</v>
      </c>
      <c r="M66" s="298">
        <v>0.25832237935091329</v>
      </c>
      <c r="N66" s="298">
        <v>0.25832237935091329</v>
      </c>
      <c r="O66" s="298">
        <v>0.25832237935091329</v>
      </c>
      <c r="P66" s="298">
        <v>0.25832237935091329</v>
      </c>
      <c r="Q66" s="298">
        <v>0.25832237935091329</v>
      </c>
      <c r="R66" s="298">
        <v>0.25832237935091329</v>
      </c>
      <c r="S66" s="298">
        <v>0.25832237935091329</v>
      </c>
      <c r="T66" s="298">
        <v>0.25832237935091329</v>
      </c>
      <c r="U66" s="298">
        <v>0.25832237935091329</v>
      </c>
    </row>
    <row r="67" spans="1:21" ht="14.4" x14ac:dyDescent="0.3">
      <c r="A67" s="43">
        <v>5</v>
      </c>
      <c r="B67" s="43"/>
      <c r="C67"/>
      <c r="D67" s="298">
        <v>5.2610233007368663</v>
      </c>
      <c r="E67" s="298">
        <v>5.0377279792824163</v>
      </c>
      <c r="F67" s="298">
        <v>4.8150952552210082</v>
      </c>
      <c r="G67" s="298">
        <v>4.5917999337665591</v>
      </c>
      <c r="H67" s="298">
        <v>4.5719220119753627</v>
      </c>
      <c r="I67" s="298">
        <v>4.5719220119753627</v>
      </c>
      <c r="J67" s="298">
        <v>4.5719220119753627</v>
      </c>
      <c r="K67" s="298">
        <v>4.5719220119753627</v>
      </c>
      <c r="L67" s="298">
        <v>4.5719220119753627</v>
      </c>
      <c r="M67" s="298">
        <v>4.5719220119753627</v>
      </c>
      <c r="N67" s="298">
        <v>4.5719220119753627</v>
      </c>
      <c r="O67" s="298">
        <v>4.5719220119753627</v>
      </c>
      <c r="P67" s="298">
        <v>4.5719220119753627</v>
      </c>
      <c r="Q67" s="298">
        <v>4.5719220119753627</v>
      </c>
      <c r="R67" s="298">
        <v>4.5719220119753627</v>
      </c>
      <c r="S67" s="298">
        <v>4.5719220119753627</v>
      </c>
      <c r="T67" s="298">
        <v>4.5719220119753627</v>
      </c>
      <c r="U67" s="298">
        <v>4.5719220119753627</v>
      </c>
    </row>
    <row r="68" spans="1:21" ht="14.4" x14ac:dyDescent="0.3">
      <c r="A68" s="43">
        <v>6</v>
      </c>
      <c r="B68" s="43"/>
      <c r="C68"/>
      <c r="D68" s="298">
        <v>2.0328554819921713E-2</v>
      </c>
      <c r="E68" s="298">
        <v>1.9465743362199594E-2</v>
      </c>
      <c r="F68" s="298">
        <v>1.8605492175865379E-2</v>
      </c>
      <c r="G68" s="298">
        <v>1.7742680718143257E-2</v>
      </c>
      <c r="H68" s="298">
        <v>1.7665872576506276E-2</v>
      </c>
      <c r="I68" s="298">
        <v>1.7665872576506276E-2</v>
      </c>
      <c r="J68" s="298">
        <v>1.7665872576506276E-2</v>
      </c>
      <c r="K68" s="298">
        <v>1.7665872576506276E-2</v>
      </c>
      <c r="L68" s="298">
        <v>1.7665872576506276E-2</v>
      </c>
      <c r="M68" s="298">
        <v>1.7665872576506276E-2</v>
      </c>
      <c r="N68" s="298">
        <v>1.7665872576506276E-2</v>
      </c>
      <c r="O68" s="298">
        <v>1.7665872576506276E-2</v>
      </c>
      <c r="P68" s="298">
        <v>1.7665872576506276E-2</v>
      </c>
      <c r="Q68" s="298">
        <v>1.7665872576506276E-2</v>
      </c>
      <c r="R68" s="298">
        <v>1.7665872576506276E-2</v>
      </c>
      <c r="S68" s="298">
        <v>1.7665872576506276E-2</v>
      </c>
      <c r="T68" s="298">
        <v>1.7665872576506276E-2</v>
      </c>
      <c r="U68" s="298">
        <v>1.7665872576506276E-2</v>
      </c>
    </row>
    <row r="69" spans="1:21" ht="14.4" x14ac:dyDescent="0.3">
      <c r="A69" s="43">
        <v>7</v>
      </c>
      <c r="B69" s="43"/>
      <c r="C69"/>
      <c r="D69" s="298">
        <v>3.7605023223959706</v>
      </c>
      <c r="E69" s="298">
        <v>3.6008941004000707</v>
      </c>
      <c r="F69" s="298">
        <v>3.441759493306237</v>
      </c>
      <c r="G69" s="298">
        <v>3.2821512713103371</v>
      </c>
      <c r="H69" s="298">
        <v>3.2679428242483879</v>
      </c>
      <c r="I69" s="298">
        <v>3.2679428242483879</v>
      </c>
      <c r="J69" s="298">
        <v>3.2679428242483879</v>
      </c>
      <c r="K69" s="298">
        <v>3.2679428242483879</v>
      </c>
      <c r="L69" s="298">
        <v>3.2679428242483879</v>
      </c>
      <c r="M69" s="298">
        <v>3.2679428242483879</v>
      </c>
      <c r="N69" s="298">
        <v>3.2679428242483879</v>
      </c>
      <c r="O69" s="298">
        <v>3.2679428242483879</v>
      </c>
      <c r="P69" s="298">
        <v>3.2679428242483879</v>
      </c>
      <c r="Q69" s="298">
        <v>3.2679428242483879</v>
      </c>
      <c r="R69" s="298">
        <v>3.2679428242483879</v>
      </c>
      <c r="S69" s="298">
        <v>3.2679428242483879</v>
      </c>
      <c r="T69" s="298">
        <v>3.2679428242483879</v>
      </c>
      <c r="U69" s="298">
        <v>3.2679428242483879</v>
      </c>
    </row>
    <row r="70" spans="1:21" ht="14.4" x14ac:dyDescent="0.3">
      <c r="A70" s="43">
        <v>8</v>
      </c>
      <c r="B70" s="43"/>
      <c r="C70"/>
      <c r="D70" s="298">
        <v>1.9663380542748566E-2</v>
      </c>
      <c r="E70" s="298">
        <v>1.8828801293012256E-2</v>
      </c>
      <c r="F70" s="298">
        <v>1.7996698539565974E-2</v>
      </c>
      <c r="G70" s="298">
        <v>1.7162119289829664E-2</v>
      </c>
      <c r="H70" s="298">
        <v>1.7087824401129107E-2</v>
      </c>
      <c r="I70" s="298">
        <v>1.7087824401129107E-2</v>
      </c>
      <c r="J70" s="298">
        <v>1.7087824401129107E-2</v>
      </c>
      <c r="K70" s="298">
        <v>1.7087824401129107E-2</v>
      </c>
      <c r="L70" s="298">
        <v>1.7087824401129107E-2</v>
      </c>
      <c r="M70" s="298">
        <v>1.7087824401129107E-2</v>
      </c>
      <c r="N70" s="298">
        <v>1.7087824401129107E-2</v>
      </c>
      <c r="O70" s="298">
        <v>1.7087824401129107E-2</v>
      </c>
      <c r="P70" s="298">
        <v>1.7087824401129107E-2</v>
      </c>
      <c r="Q70" s="298">
        <v>1.7087824401129107E-2</v>
      </c>
      <c r="R70" s="298">
        <v>1.7087824401129107E-2</v>
      </c>
      <c r="S70" s="298">
        <v>1.7087824401129107E-2</v>
      </c>
      <c r="T70" s="298">
        <v>1.7087824401129107E-2</v>
      </c>
      <c r="U70" s="298">
        <v>1.7087824401129107E-2</v>
      </c>
    </row>
    <row r="71" spans="1:21" ht="14.4" x14ac:dyDescent="0.3">
      <c r="A71" s="43">
        <v>9</v>
      </c>
      <c r="B71" s="43"/>
      <c r="C71"/>
      <c r="D71" s="298">
        <v>9.6150693119962296E-3</v>
      </c>
      <c r="E71" s="298">
        <v>9.20697380089513E-3</v>
      </c>
      <c r="F71" s="298">
        <v>8.8000892557023435E-3</v>
      </c>
      <c r="G71" s="298">
        <v>8.3919937446012421E-3</v>
      </c>
      <c r="H71" s="298">
        <v>8.3556647673518874E-3</v>
      </c>
      <c r="I71" s="298">
        <v>8.3556647673518874E-3</v>
      </c>
      <c r="J71" s="298">
        <v>8.3556647673518874E-3</v>
      </c>
      <c r="K71" s="298">
        <v>8.3556647673518874E-3</v>
      </c>
      <c r="L71" s="298">
        <v>8.3556647673518874E-3</v>
      </c>
      <c r="M71" s="298">
        <v>8.3556647673518874E-3</v>
      </c>
      <c r="N71" s="298">
        <v>8.3556647673518874E-3</v>
      </c>
      <c r="O71" s="298">
        <v>8.3556647673518874E-3</v>
      </c>
      <c r="P71" s="298">
        <v>8.3556647673518874E-3</v>
      </c>
      <c r="Q71" s="298">
        <v>8.3556647673518874E-3</v>
      </c>
      <c r="R71" s="298">
        <v>8.3556647673518874E-3</v>
      </c>
      <c r="S71" s="298">
        <v>8.3556647673518874E-3</v>
      </c>
      <c r="T71" s="298">
        <v>8.3556647673518874E-3</v>
      </c>
      <c r="U71" s="298">
        <v>8.3556647673518874E-3</v>
      </c>
    </row>
    <row r="72" spans="1:21" ht="14.4" x14ac:dyDescent="0.3">
      <c r="A72" s="43">
        <v>10</v>
      </c>
      <c r="B72" s="43"/>
      <c r="C72"/>
      <c r="D72" s="298">
        <v>5.413604338681214E-3</v>
      </c>
      <c r="E72" s="298">
        <v>5.1838329706540643E-3</v>
      </c>
      <c r="F72" s="298">
        <v>4.9547434167753635E-3</v>
      </c>
      <c r="G72" s="298">
        <v>4.724972048748213E-3</v>
      </c>
      <c r="H72" s="298">
        <v>4.7045176242947583E-3</v>
      </c>
      <c r="I72" s="298">
        <v>4.7045176242947583E-3</v>
      </c>
      <c r="J72" s="298">
        <v>4.7045176242947583E-3</v>
      </c>
      <c r="K72" s="298">
        <v>4.7045176242947583E-3</v>
      </c>
      <c r="L72" s="298">
        <v>4.7045176242947583E-3</v>
      </c>
      <c r="M72" s="298">
        <v>4.7045176242947583E-3</v>
      </c>
      <c r="N72" s="298">
        <v>4.7045176242947583E-3</v>
      </c>
      <c r="O72" s="298">
        <v>4.7045176242947583E-3</v>
      </c>
      <c r="P72" s="298">
        <v>4.7045176242947583E-3</v>
      </c>
      <c r="Q72" s="298">
        <v>4.7045176242947583E-3</v>
      </c>
      <c r="R72" s="298">
        <v>4.7045176242947583E-3</v>
      </c>
      <c r="S72" s="298">
        <v>4.7045176242947583E-3</v>
      </c>
      <c r="T72" s="298">
        <v>4.7045176242947583E-3</v>
      </c>
      <c r="U72" s="298">
        <v>4.7045176242947583E-3</v>
      </c>
    </row>
    <row r="73" spans="1:21" ht="14.4" x14ac:dyDescent="0.3">
      <c r="A73" s="43">
        <v>11</v>
      </c>
      <c r="B73" s="43"/>
      <c r="C73"/>
      <c r="D73" s="298">
        <v>3.4945454457580891</v>
      </c>
      <c r="E73" s="298">
        <v>3.3462253178965682</v>
      </c>
      <c r="F73" s="298">
        <v>3.1983453091088205</v>
      </c>
      <c r="G73" s="298">
        <v>3.0500251812472992</v>
      </c>
      <c r="H73" s="298">
        <v>3.0368216090341078</v>
      </c>
      <c r="I73" s="298">
        <v>3.0368216090341078</v>
      </c>
      <c r="J73" s="298">
        <v>3.0368216090341078</v>
      </c>
      <c r="K73" s="298">
        <v>3.0368216090341078</v>
      </c>
      <c r="L73" s="298">
        <v>3.0368216090341078</v>
      </c>
      <c r="M73" s="298">
        <v>3.0368216090341078</v>
      </c>
      <c r="N73" s="298">
        <v>3.0368216090341078</v>
      </c>
      <c r="O73" s="298">
        <v>3.0368216090341078</v>
      </c>
      <c r="P73" s="298">
        <v>3.0368216090341078</v>
      </c>
      <c r="Q73" s="298">
        <v>3.0368216090341078</v>
      </c>
      <c r="R73" s="298">
        <v>3.0368216090341078</v>
      </c>
      <c r="S73" s="298">
        <v>3.0368216090341078</v>
      </c>
      <c r="T73" s="298">
        <v>3.0368216090341078</v>
      </c>
      <c r="U73" s="298">
        <v>3.0368216090341078</v>
      </c>
    </row>
    <row r="74" spans="1:21" ht="14.4" x14ac:dyDescent="0.3">
      <c r="A74" s="43">
        <v>12</v>
      </c>
      <c r="B74" s="43"/>
      <c r="C74"/>
      <c r="D74" s="298">
        <v>3.3849154065235818E-3</v>
      </c>
      <c r="E74" s="298">
        <v>3.2412483420401496E-3</v>
      </c>
      <c r="F74" s="298">
        <v>3.0980075893207643E-3</v>
      </c>
      <c r="G74" s="298">
        <v>2.9543405248373326E-3</v>
      </c>
      <c r="H74" s="298">
        <v>2.941551171915959E-3</v>
      </c>
      <c r="I74" s="298">
        <v>2.941551171915959E-3</v>
      </c>
      <c r="J74" s="298">
        <v>2.941551171915959E-3</v>
      </c>
      <c r="K74" s="298">
        <v>2.941551171915959E-3</v>
      </c>
      <c r="L74" s="298">
        <v>2.941551171915959E-3</v>
      </c>
      <c r="M74" s="298">
        <v>2.941551171915959E-3</v>
      </c>
      <c r="N74" s="298">
        <v>2.941551171915959E-3</v>
      </c>
      <c r="O74" s="298">
        <v>2.941551171915959E-3</v>
      </c>
      <c r="P74" s="298">
        <v>2.941551171915959E-3</v>
      </c>
      <c r="Q74" s="298">
        <v>2.941551171915959E-3</v>
      </c>
      <c r="R74" s="298">
        <v>2.941551171915959E-3</v>
      </c>
      <c r="S74" s="298">
        <v>2.941551171915959E-3</v>
      </c>
      <c r="T74" s="298">
        <v>2.941551171915959E-3</v>
      </c>
      <c r="U74" s="298">
        <v>2.941551171915959E-3</v>
      </c>
    </row>
    <row r="75" spans="1:21" ht="14.4" x14ac:dyDescent="0.3">
      <c r="A75" s="43">
        <v>13</v>
      </c>
      <c r="B75" s="43"/>
      <c r="C75"/>
      <c r="D75" s="298">
        <v>2.2520654934124393</v>
      </c>
      <c r="E75" s="298">
        <v>2.1564803458960671</v>
      </c>
      <c r="F75" s="298">
        <v>2.0611788338322663</v>
      </c>
      <c r="G75" s="298">
        <v>1.9655936863158945</v>
      </c>
      <c r="H75" s="298">
        <v>1.9570846227387695</v>
      </c>
      <c r="I75" s="298">
        <v>1.9570846227387695</v>
      </c>
      <c r="J75" s="298">
        <v>1.9570846227387695</v>
      </c>
      <c r="K75" s="298">
        <v>1.9570846227387695</v>
      </c>
      <c r="L75" s="298">
        <v>1.9570846227387695</v>
      </c>
      <c r="M75" s="298">
        <v>1.9570846227387695</v>
      </c>
      <c r="N75" s="298">
        <v>1.9570846227387695</v>
      </c>
      <c r="O75" s="298">
        <v>1.9570846227387695</v>
      </c>
      <c r="P75" s="298">
        <v>1.9570846227387695</v>
      </c>
      <c r="Q75" s="298">
        <v>1.9570846227387695</v>
      </c>
      <c r="R75" s="298">
        <v>1.9570846227387695</v>
      </c>
      <c r="S75" s="298">
        <v>1.9570846227387695</v>
      </c>
      <c r="T75" s="298">
        <v>1.9570846227387695</v>
      </c>
      <c r="U75" s="298">
        <v>1.9570846227387695</v>
      </c>
    </row>
    <row r="76" spans="1:21" ht="14.4" x14ac:dyDescent="0.3">
      <c r="A76" s="43">
        <v>14</v>
      </c>
      <c r="B76" s="43"/>
      <c r="C76"/>
      <c r="D76" s="298">
        <v>1.2003992296048918E-2</v>
      </c>
      <c r="E76" s="298">
        <v>1.1494502950486134E-2</v>
      </c>
      <c r="F76" s="298">
        <v>1.0986525442744017E-2</v>
      </c>
      <c r="G76" s="298">
        <v>1.0477036097181234E-2</v>
      </c>
      <c r="H76" s="298">
        <v>1.0431680962561403E-2</v>
      </c>
      <c r="I76" s="298">
        <v>1.0431680962561403E-2</v>
      </c>
      <c r="J76" s="298">
        <v>1.0431680962561403E-2</v>
      </c>
      <c r="K76" s="298">
        <v>1.0431680962561403E-2</v>
      </c>
      <c r="L76" s="298">
        <v>1.0431680962561403E-2</v>
      </c>
      <c r="M76" s="298">
        <v>1.0431680962561403E-2</v>
      </c>
      <c r="N76" s="298">
        <v>1.0431680962561403E-2</v>
      </c>
      <c r="O76" s="298">
        <v>1.0431680962561403E-2</v>
      </c>
      <c r="P76" s="298">
        <v>1.0431680962561403E-2</v>
      </c>
      <c r="Q76" s="298">
        <v>1.0431680962561403E-2</v>
      </c>
      <c r="R76" s="298">
        <v>1.0431680962561403E-2</v>
      </c>
      <c r="S76" s="298">
        <v>1.0431680962561403E-2</v>
      </c>
      <c r="T76" s="298">
        <v>1.0431680962561403E-2</v>
      </c>
      <c r="U76" s="298">
        <v>1.0431680962561403E-2</v>
      </c>
    </row>
    <row r="77" spans="1:21" ht="14.4" x14ac:dyDescent="0.3">
      <c r="A77" s="43">
        <v>15</v>
      </c>
      <c r="B77" s="43"/>
      <c r="C77"/>
      <c r="D77" s="298">
        <v>2.2368084049890326E-3</v>
      </c>
      <c r="E77" s="298">
        <v>2.1418708190342082E-3</v>
      </c>
      <c r="F77" s="298">
        <v>2.0472149469842947E-3</v>
      </c>
      <c r="G77" s="298">
        <v>1.9522773610294703E-3</v>
      </c>
      <c r="H77" s="298">
        <v>1.9438259438821566E-3</v>
      </c>
      <c r="I77" s="298">
        <v>1.9438259438821566E-3</v>
      </c>
      <c r="J77" s="298">
        <v>1.9438259438821566E-3</v>
      </c>
      <c r="K77" s="298">
        <v>1.9438259438821566E-3</v>
      </c>
      <c r="L77" s="298">
        <v>1.9438259438821566E-3</v>
      </c>
      <c r="M77" s="298">
        <v>1.9438259438821566E-3</v>
      </c>
      <c r="N77" s="298">
        <v>1.9438259438821566E-3</v>
      </c>
      <c r="O77" s="298">
        <v>1.9438259438821566E-3</v>
      </c>
      <c r="P77" s="298">
        <v>1.9438259438821566E-3</v>
      </c>
      <c r="Q77" s="298">
        <v>1.9438259438821566E-3</v>
      </c>
      <c r="R77" s="298">
        <v>1.9438259438821566E-3</v>
      </c>
      <c r="S77" s="298">
        <v>1.9438259438821566E-3</v>
      </c>
      <c r="T77" s="298">
        <v>1.9438259438821566E-3</v>
      </c>
      <c r="U77" s="298">
        <v>1.9438259438821566E-3</v>
      </c>
    </row>
    <row r="78" spans="1:21" ht="14.4" x14ac:dyDescent="0.3">
      <c r="A78" s="43">
        <v>16</v>
      </c>
      <c r="B78" s="43"/>
      <c r="C78"/>
      <c r="D78" s="298">
        <v>1.0045803829833231E-2</v>
      </c>
      <c r="E78" s="298">
        <v>9.6194265136299809E-3</v>
      </c>
      <c r="F78" s="298">
        <v>9.1943144120148722E-3</v>
      </c>
      <c r="G78" s="298">
        <v>8.7679370958116225E-3</v>
      </c>
      <c r="H78" s="298">
        <v>8.7299806581674182E-3</v>
      </c>
      <c r="I78" s="298">
        <v>8.7299806581674182E-3</v>
      </c>
      <c r="J78" s="298">
        <v>8.7299806581674182E-3</v>
      </c>
      <c r="K78" s="298">
        <v>8.7299806581674182E-3</v>
      </c>
      <c r="L78" s="298">
        <v>8.7299806581674182E-3</v>
      </c>
      <c r="M78" s="298">
        <v>8.7299806581674182E-3</v>
      </c>
      <c r="N78" s="298">
        <v>8.7299806581674182E-3</v>
      </c>
      <c r="O78" s="298">
        <v>8.7299806581674182E-3</v>
      </c>
      <c r="P78" s="298">
        <v>8.7299806581674182E-3</v>
      </c>
      <c r="Q78" s="298">
        <v>8.7299806581674182E-3</v>
      </c>
      <c r="R78" s="298">
        <v>8.7299806581674182E-3</v>
      </c>
      <c r="S78" s="298">
        <v>8.7299806581674182E-3</v>
      </c>
      <c r="T78" s="298">
        <v>8.7299806581674182E-3</v>
      </c>
      <c r="U78" s="298">
        <v>8.7299806581674182E-3</v>
      </c>
    </row>
    <row r="79" spans="1:21" ht="14.4" x14ac:dyDescent="0.3">
      <c r="A79" s="43">
        <v>17</v>
      </c>
      <c r="B79" s="43"/>
      <c r="C79"/>
      <c r="D79" s="298">
        <v>1.1226094656127854</v>
      </c>
      <c r="E79" s="298">
        <v>1.0749621872863988</v>
      </c>
      <c r="F79" s="298">
        <v>1.0274562955425832</v>
      </c>
      <c r="G79" s="298">
        <v>0.97980901721619673</v>
      </c>
      <c r="H79" s="298">
        <v>0.97556741973907035</v>
      </c>
      <c r="I79" s="298">
        <v>0.97556741973907035</v>
      </c>
      <c r="J79" s="298">
        <v>0.97556741973907035</v>
      </c>
      <c r="K79" s="298">
        <v>0.97556741973907035</v>
      </c>
      <c r="L79" s="298">
        <v>0.97556741973907035</v>
      </c>
      <c r="M79" s="298">
        <v>0.97556741973907035</v>
      </c>
      <c r="N79" s="298">
        <v>0.97556741973907035</v>
      </c>
      <c r="O79" s="298">
        <v>0.97556741973907035</v>
      </c>
      <c r="P79" s="298">
        <v>0.97556741973907035</v>
      </c>
      <c r="Q79" s="298">
        <v>0.97556741973907035</v>
      </c>
      <c r="R79" s="298">
        <v>0.97556741973907035</v>
      </c>
      <c r="S79" s="298">
        <v>0.97556741973907035</v>
      </c>
      <c r="T79" s="298">
        <v>0.97556741973907035</v>
      </c>
      <c r="U79" s="298">
        <v>0.97556741973907035</v>
      </c>
    </row>
    <row r="80" spans="1:21" ht="14.4" x14ac:dyDescent="0.3">
      <c r="A80" s="43">
        <v>18</v>
      </c>
      <c r="B80" s="43"/>
      <c r="C80"/>
      <c r="D80" s="298">
        <v>2.9975279448625292E-3</v>
      </c>
      <c r="E80" s="298">
        <v>2.8703028922909078E-3</v>
      </c>
      <c r="F80" s="298">
        <v>2.7434553621304785E-3</v>
      </c>
      <c r="G80" s="298">
        <v>2.6162303095588571E-3</v>
      </c>
      <c r="H80" s="298">
        <v>2.6049046372231049E-3</v>
      </c>
      <c r="I80" s="298">
        <v>2.6049046372231049E-3</v>
      </c>
      <c r="J80" s="298">
        <v>2.6049046372231049E-3</v>
      </c>
      <c r="K80" s="298">
        <v>2.6049046372231049E-3</v>
      </c>
      <c r="L80" s="298">
        <v>2.6049046372231049E-3</v>
      </c>
      <c r="M80" s="298">
        <v>2.6049046372231049E-3</v>
      </c>
      <c r="N80" s="298">
        <v>2.6049046372231049E-3</v>
      </c>
      <c r="O80" s="298">
        <v>2.6049046372231049E-3</v>
      </c>
      <c r="P80" s="298">
        <v>2.6049046372231049E-3</v>
      </c>
      <c r="Q80" s="298">
        <v>2.6049046372231049E-3</v>
      </c>
      <c r="R80" s="298">
        <v>2.6049046372231049E-3</v>
      </c>
      <c r="S80" s="298">
        <v>2.6049046372231049E-3</v>
      </c>
      <c r="T80" s="298">
        <v>2.6049046372231049E-3</v>
      </c>
      <c r="U80" s="298">
        <v>2.6049046372231049E-3</v>
      </c>
    </row>
    <row r="81" spans="1:21" ht="14.4" x14ac:dyDescent="0.3">
      <c r="A81" s="43">
        <v>19</v>
      </c>
      <c r="B81" s="43"/>
      <c r="C81"/>
      <c r="D81" s="298">
        <v>1.0548634848389891</v>
      </c>
      <c r="E81" s="298">
        <v>1.0100915711877623</v>
      </c>
      <c r="F81" s="298">
        <v>0.96545251187971459</v>
      </c>
      <c r="G81" s="298">
        <v>0.92068059822848791</v>
      </c>
      <c r="H81" s="298">
        <v>0.91669496793312655</v>
      </c>
      <c r="I81" s="298">
        <v>0.91669496793312655</v>
      </c>
      <c r="J81" s="298">
        <v>0.91669496793312655</v>
      </c>
      <c r="K81" s="298">
        <v>0.91669496793312655</v>
      </c>
      <c r="L81" s="298">
        <v>0.91669496793312655</v>
      </c>
      <c r="M81" s="298">
        <v>0.91669496793312655</v>
      </c>
      <c r="N81" s="298">
        <v>0.91669496793312655</v>
      </c>
      <c r="O81" s="298">
        <v>0.91669496793312655</v>
      </c>
      <c r="P81" s="298">
        <v>0.91669496793312655</v>
      </c>
      <c r="Q81" s="298">
        <v>0.91669496793312655</v>
      </c>
      <c r="R81" s="298">
        <v>0.91669496793312655</v>
      </c>
      <c r="S81" s="298">
        <v>0.91669496793312655</v>
      </c>
      <c r="T81" s="298">
        <v>0.91669496793312655</v>
      </c>
      <c r="U81" s="298">
        <v>0.91669496793312655</v>
      </c>
    </row>
    <row r="82" spans="1:21" ht="14.4" x14ac:dyDescent="0.3">
      <c r="A82" s="43">
        <v>20</v>
      </c>
      <c r="B82" s="43"/>
      <c r="C82"/>
      <c r="D82" s="298">
        <v>3.9537279671871609E-3</v>
      </c>
      <c r="E82" s="298">
        <v>3.7859186063632214E-3</v>
      </c>
      <c r="F82" s="298">
        <v>3.6186071961648737E-3</v>
      </c>
      <c r="G82" s="298">
        <v>3.4507978353409343E-3</v>
      </c>
      <c r="H82" s="298">
        <v>3.435859316573225E-3</v>
      </c>
      <c r="I82" s="298">
        <v>3.435859316573225E-3</v>
      </c>
      <c r="J82" s="298">
        <v>3.435859316573225E-3</v>
      </c>
      <c r="K82" s="298">
        <v>3.435859316573225E-3</v>
      </c>
      <c r="L82" s="298">
        <v>3.435859316573225E-3</v>
      </c>
      <c r="M82" s="298">
        <v>3.435859316573225E-3</v>
      </c>
      <c r="N82" s="298">
        <v>3.435859316573225E-3</v>
      </c>
      <c r="O82" s="298">
        <v>3.435859316573225E-3</v>
      </c>
      <c r="P82" s="298">
        <v>3.435859316573225E-3</v>
      </c>
      <c r="Q82" s="298">
        <v>3.435859316573225E-3</v>
      </c>
      <c r="R82" s="298">
        <v>3.435859316573225E-3</v>
      </c>
      <c r="S82" s="298">
        <v>3.435859316573225E-3</v>
      </c>
      <c r="T82" s="298">
        <v>3.435859316573225E-3</v>
      </c>
      <c r="U82" s="298">
        <v>3.435859316573225E-3</v>
      </c>
    </row>
    <row r="83" spans="1:21" ht="14.4" x14ac:dyDescent="0.3">
      <c r="A83" s="43">
        <v>21</v>
      </c>
      <c r="B83" s="43"/>
      <c r="C83"/>
      <c r="D83" s="298">
        <v>1.7776305987240223E-3</v>
      </c>
      <c r="E83" s="298">
        <v>1.7021820456043753E-3</v>
      </c>
      <c r="F83" s="298">
        <v>1.6269573754316713E-3</v>
      </c>
      <c r="G83" s="298">
        <v>1.5515088223120243E-3</v>
      </c>
      <c r="H83" s="298">
        <v>1.5447923339037474E-3</v>
      </c>
      <c r="I83" s="298">
        <v>1.5447923339037474E-3</v>
      </c>
      <c r="J83" s="298">
        <v>1.5447923339037474E-3</v>
      </c>
      <c r="K83" s="298">
        <v>1.5447923339037474E-3</v>
      </c>
      <c r="L83" s="298">
        <v>1.5447923339037474E-3</v>
      </c>
      <c r="M83" s="298">
        <v>1.5447923339037474E-3</v>
      </c>
      <c r="N83" s="298">
        <v>1.5447923339037474E-3</v>
      </c>
      <c r="O83" s="298">
        <v>1.5447923339037474E-3</v>
      </c>
      <c r="P83" s="298">
        <v>1.5447923339037474E-3</v>
      </c>
      <c r="Q83" s="298">
        <v>1.5447923339037474E-3</v>
      </c>
      <c r="R83" s="298">
        <v>1.5447923339037474E-3</v>
      </c>
      <c r="S83" s="298">
        <v>1.5447923339037474E-3</v>
      </c>
      <c r="T83" s="298">
        <v>1.5447923339037474E-3</v>
      </c>
      <c r="U83" s="298">
        <v>1.5447923339037474E-3</v>
      </c>
    </row>
    <row r="84" spans="1:21" ht="14.4" x14ac:dyDescent="0.3">
      <c r="A84" s="43">
        <v>22</v>
      </c>
      <c r="B84" s="43"/>
      <c r="C84"/>
      <c r="D84" s="298">
        <v>6.0107835552342427E-3</v>
      </c>
      <c r="E84" s="298">
        <v>5.7556659156732925E-3</v>
      </c>
      <c r="F84" s="298">
        <v>5.5013053017490231E-3</v>
      </c>
      <c r="G84" s="298">
        <v>5.2461876621880729E-3</v>
      </c>
      <c r="H84" s="298">
        <v>5.2234768930876927E-3</v>
      </c>
      <c r="I84" s="298">
        <v>5.2234768930876927E-3</v>
      </c>
      <c r="J84" s="298">
        <v>5.2234768930876927E-3</v>
      </c>
      <c r="K84" s="298">
        <v>5.2234768930876927E-3</v>
      </c>
      <c r="L84" s="298">
        <v>5.2234768930876927E-3</v>
      </c>
      <c r="M84" s="298">
        <v>5.2234768930876927E-3</v>
      </c>
      <c r="N84" s="298">
        <v>5.2234768930876927E-3</v>
      </c>
      <c r="O84" s="298">
        <v>5.2234768930876927E-3</v>
      </c>
      <c r="P84" s="298">
        <v>5.2234768930876927E-3</v>
      </c>
      <c r="Q84" s="298">
        <v>5.2234768930876927E-3</v>
      </c>
      <c r="R84" s="298">
        <v>5.2234768930876927E-3</v>
      </c>
      <c r="S84" s="298">
        <v>5.2234768930876927E-3</v>
      </c>
      <c r="T84" s="298">
        <v>5.2234768930876927E-3</v>
      </c>
      <c r="U84" s="298">
        <v>5.2234768930876927E-3</v>
      </c>
    </row>
    <row r="85" spans="1:21" ht="14.4" x14ac:dyDescent="0.3">
      <c r="A85" s="43">
        <v>23</v>
      </c>
      <c r="B85" s="43"/>
      <c r="C85"/>
      <c r="D85" s="298">
        <v>0.62976876382261859</v>
      </c>
      <c r="E85" s="298">
        <v>0.60303928354450487</v>
      </c>
      <c r="F85" s="298">
        <v>0.57638911923160818</v>
      </c>
      <c r="G85" s="298">
        <v>0.54965963895349446</v>
      </c>
      <c r="H85" s="298">
        <v>0.54728015999698587</v>
      </c>
      <c r="I85" s="298">
        <v>0.54728015999698587</v>
      </c>
      <c r="J85" s="298">
        <v>0.54728015999698587</v>
      </c>
      <c r="K85" s="298">
        <v>0.54728015999698587</v>
      </c>
      <c r="L85" s="298">
        <v>0.54728015999698587</v>
      </c>
      <c r="M85" s="298">
        <v>0.54728015999698587</v>
      </c>
      <c r="N85" s="298">
        <v>0.54728015999698587</v>
      </c>
      <c r="O85" s="298">
        <v>0.54728015999698587</v>
      </c>
      <c r="P85" s="298">
        <v>0.54728015999698587</v>
      </c>
      <c r="Q85" s="298">
        <v>0.54728015999698587</v>
      </c>
      <c r="R85" s="298">
        <v>0.54728015999698587</v>
      </c>
      <c r="S85" s="298">
        <v>0.54728015999698587</v>
      </c>
      <c r="T85" s="298">
        <v>0.54728015999698587</v>
      </c>
      <c r="U85" s="298">
        <v>0.54728015999698587</v>
      </c>
    </row>
    <row r="86" spans="1:21" ht="14.4" x14ac:dyDescent="0.3">
      <c r="A86" s="43">
        <v>24</v>
      </c>
      <c r="B86" s="43"/>
      <c r="C86"/>
      <c r="D86" s="298">
        <v>8.4786508236885832E-4</v>
      </c>
      <c r="E86" s="298">
        <v>8.1187886917511701E-4</v>
      </c>
      <c r="F86" s="298">
        <v>7.7599943999678768E-4</v>
      </c>
      <c r="G86" s="298">
        <v>7.4001322680304637E-4</v>
      </c>
      <c r="H86" s="298">
        <v>7.3680970634069551E-4</v>
      </c>
      <c r="I86" s="298">
        <v>7.3680970634069551E-4</v>
      </c>
      <c r="J86" s="298">
        <v>7.3680970634069551E-4</v>
      </c>
      <c r="K86" s="298">
        <v>7.3680970634069551E-4</v>
      </c>
      <c r="L86" s="298">
        <v>7.3680970634069551E-4</v>
      </c>
      <c r="M86" s="298">
        <v>7.3680970634069551E-4</v>
      </c>
      <c r="N86" s="298">
        <v>7.3680970634069551E-4</v>
      </c>
      <c r="O86" s="298">
        <v>7.3680970634069551E-4</v>
      </c>
      <c r="P86" s="298">
        <v>7.3680970634069551E-4</v>
      </c>
      <c r="Q86" s="298">
        <v>7.3680970634069551E-4</v>
      </c>
      <c r="R86" s="298">
        <v>7.3680970634069551E-4</v>
      </c>
      <c r="S86" s="298">
        <v>7.3680970634069551E-4</v>
      </c>
      <c r="T86" s="298">
        <v>7.3680970634069551E-4</v>
      </c>
      <c r="U86" s="298">
        <v>7.3680970634069551E-4</v>
      </c>
    </row>
    <row r="87" spans="1:21" ht="14.4" x14ac:dyDescent="0.3">
      <c r="A87" s="43">
        <v>25</v>
      </c>
      <c r="B87" s="43"/>
      <c r="C87"/>
      <c r="D87" s="298">
        <v>0.50562930889481716</v>
      </c>
      <c r="E87" s="298">
        <v>0.4841687198397096</v>
      </c>
      <c r="F87" s="298">
        <v>0.46277181205776274</v>
      </c>
      <c r="G87" s="298">
        <v>0.44131122300265524</v>
      </c>
      <c r="H87" s="298">
        <v>0.43940078480783862</v>
      </c>
      <c r="I87" s="298">
        <v>0.43940078480783862</v>
      </c>
      <c r="J87" s="298">
        <v>0.43940078480783862</v>
      </c>
      <c r="K87" s="298">
        <v>0.43940078480783862</v>
      </c>
      <c r="L87" s="298">
        <v>0.43940078480783862</v>
      </c>
      <c r="M87" s="298">
        <v>0.43940078480783862</v>
      </c>
      <c r="N87" s="298">
        <v>0.43940078480783862</v>
      </c>
      <c r="O87" s="298">
        <v>0.43940078480783862</v>
      </c>
      <c r="P87" s="298">
        <v>0.43940078480783862</v>
      </c>
      <c r="Q87" s="298">
        <v>0.43940078480783862</v>
      </c>
      <c r="R87" s="298">
        <v>0.43940078480783862</v>
      </c>
      <c r="S87" s="298">
        <v>0.43940078480783862</v>
      </c>
      <c r="T87" s="298">
        <v>0.43940078480783862</v>
      </c>
      <c r="U87" s="298">
        <v>0.43940078480783862</v>
      </c>
    </row>
    <row r="88" spans="1:21" ht="14.4" x14ac:dyDescent="0.3">
      <c r="A88" s="43">
        <v>26</v>
      </c>
      <c r="B88" s="43"/>
      <c r="C88"/>
      <c r="D88" s="298">
        <v>4.3441249874913218E-3</v>
      </c>
      <c r="E88" s="298">
        <v>4.1597458790801657E-3</v>
      </c>
      <c r="F88" s="298">
        <v>3.9759138896850671E-3</v>
      </c>
      <c r="G88" s="298">
        <v>3.7915347812739111E-3</v>
      </c>
      <c r="H88" s="298">
        <v>3.7751212107922064E-3</v>
      </c>
      <c r="I88" s="298">
        <v>3.7751212107922064E-3</v>
      </c>
      <c r="J88" s="298">
        <v>3.7751212107922064E-3</v>
      </c>
      <c r="K88" s="298">
        <v>3.7751212107922064E-3</v>
      </c>
      <c r="L88" s="298">
        <v>3.7751212107922064E-3</v>
      </c>
      <c r="M88" s="298">
        <v>3.7751212107922064E-3</v>
      </c>
      <c r="N88" s="298">
        <v>3.7751212107922064E-3</v>
      </c>
      <c r="O88" s="298">
        <v>3.7751212107922064E-3</v>
      </c>
      <c r="P88" s="298">
        <v>3.7751212107922064E-3</v>
      </c>
      <c r="Q88" s="298">
        <v>3.7751212107922064E-3</v>
      </c>
      <c r="R88" s="298">
        <v>3.7751212107922064E-3</v>
      </c>
      <c r="S88" s="298">
        <v>3.7751212107922064E-3</v>
      </c>
      <c r="T88" s="298">
        <v>3.7751212107922064E-3</v>
      </c>
      <c r="U88" s="298">
        <v>3.7751212107922064E-3</v>
      </c>
    </row>
    <row r="89" spans="1:21" ht="14.4" x14ac:dyDescent="0.3">
      <c r="A89" s="43">
        <v>27</v>
      </c>
      <c r="B89" s="43"/>
      <c r="C89"/>
      <c r="D89" s="298">
        <v>1.6680713870593842E-3</v>
      </c>
      <c r="E89" s="298">
        <v>1.5972728911602641E-3</v>
      </c>
      <c r="F89" s="298">
        <v>1.5266844798187086E-3</v>
      </c>
      <c r="G89" s="298">
        <v>1.4558859839195882E-3</v>
      </c>
      <c r="H89" s="298">
        <v>1.4495834471926639E-3</v>
      </c>
      <c r="I89" s="298">
        <v>1.4495834471926639E-3</v>
      </c>
      <c r="J89" s="298">
        <v>1.4495834471926639E-3</v>
      </c>
      <c r="K89" s="298">
        <v>1.4495834471926639E-3</v>
      </c>
      <c r="L89" s="298">
        <v>1.4495834471926639E-3</v>
      </c>
      <c r="M89" s="298">
        <v>1.4495834471926639E-3</v>
      </c>
      <c r="N89" s="298">
        <v>1.4495834471926639E-3</v>
      </c>
      <c r="O89" s="298">
        <v>1.4495834471926639E-3</v>
      </c>
      <c r="P89" s="298">
        <v>1.4495834471926639E-3</v>
      </c>
      <c r="Q89" s="298">
        <v>1.4495834471926639E-3</v>
      </c>
      <c r="R89" s="298">
        <v>1.4495834471926639E-3</v>
      </c>
      <c r="S89" s="298">
        <v>1.4495834471926639E-3</v>
      </c>
      <c r="T89" s="298">
        <v>1.4495834471926639E-3</v>
      </c>
      <c r="U89" s="298">
        <v>1.4495834471926639E-3</v>
      </c>
    </row>
    <row r="90" spans="1:21" ht="14.4" x14ac:dyDescent="0.3">
      <c r="A90" s="43">
        <v>28</v>
      </c>
      <c r="B90" s="43"/>
      <c r="C90"/>
      <c r="D90" s="298">
        <v>2.6593794744053248E-3</v>
      </c>
      <c r="E90" s="298">
        <v>2.5465065672422775E-3</v>
      </c>
      <c r="F90" s="298">
        <v>2.4339685945218509E-3</v>
      </c>
      <c r="G90" s="298">
        <v>2.3210956873588036E-3</v>
      </c>
      <c r="H90" s="298">
        <v>2.3110476540801942E-3</v>
      </c>
      <c r="I90" s="298">
        <v>2.3110476540801942E-3</v>
      </c>
      <c r="J90" s="298">
        <v>2.3110476540801942E-3</v>
      </c>
      <c r="K90" s="298">
        <v>2.3110476540801942E-3</v>
      </c>
      <c r="L90" s="298">
        <v>2.3110476540801942E-3</v>
      </c>
      <c r="M90" s="298">
        <v>2.3110476540801942E-3</v>
      </c>
      <c r="N90" s="298">
        <v>2.3110476540801942E-3</v>
      </c>
      <c r="O90" s="298">
        <v>2.3110476540801942E-3</v>
      </c>
      <c r="P90" s="298">
        <v>2.3110476540801942E-3</v>
      </c>
      <c r="Q90" s="298">
        <v>2.3110476540801942E-3</v>
      </c>
      <c r="R90" s="298">
        <v>2.3110476540801942E-3</v>
      </c>
      <c r="S90" s="298">
        <v>2.3110476540801942E-3</v>
      </c>
      <c r="T90" s="298">
        <v>2.3110476540801942E-3</v>
      </c>
      <c r="U90" s="298">
        <v>2.3110476540801942E-3</v>
      </c>
    </row>
    <row r="91" spans="1:21" ht="14.4" x14ac:dyDescent="0.3">
      <c r="A91" s="43">
        <v>29</v>
      </c>
      <c r="B91" s="43"/>
      <c r="C91"/>
      <c r="D91" s="298">
        <v>0.45606825205169371</v>
      </c>
      <c r="E91" s="298">
        <v>0.43671119903640138</v>
      </c>
      <c r="F91" s="298">
        <v>0.41741158534756401</v>
      </c>
      <c r="G91" s="298">
        <v>0.39805453233227167</v>
      </c>
      <c r="H91" s="298">
        <v>0.3963313525386255</v>
      </c>
      <c r="I91" s="298">
        <v>0.3963313525386255</v>
      </c>
      <c r="J91" s="298">
        <v>0.3963313525386255</v>
      </c>
      <c r="K91" s="298">
        <v>0.3963313525386255</v>
      </c>
      <c r="L91" s="298">
        <v>0.3963313525386255</v>
      </c>
      <c r="M91" s="298">
        <v>0.3963313525386255</v>
      </c>
      <c r="N91" s="298">
        <v>0.3963313525386255</v>
      </c>
      <c r="O91" s="298">
        <v>0.3963313525386255</v>
      </c>
      <c r="P91" s="298">
        <v>0.3963313525386255</v>
      </c>
      <c r="Q91" s="298">
        <v>0.3963313525386255</v>
      </c>
      <c r="R91" s="298">
        <v>0.3963313525386255</v>
      </c>
      <c r="S91" s="298">
        <v>0.3963313525386255</v>
      </c>
      <c r="T91" s="298">
        <v>0.3963313525386255</v>
      </c>
      <c r="U91" s="298">
        <v>0.3963313525386255</v>
      </c>
    </row>
    <row r="92" spans="1:21" ht="14.4" x14ac:dyDescent="0.3">
      <c r="A92" s="43">
        <v>30</v>
      </c>
      <c r="B92" s="43"/>
      <c r="C92"/>
      <c r="D92" s="298">
        <v>1.3183735589566582E-3</v>
      </c>
      <c r="E92" s="298">
        <v>1.2624174016054748E-3</v>
      </c>
      <c r="F92" s="298">
        <v>1.2066272862642361E-3</v>
      </c>
      <c r="G92" s="298">
        <v>1.1506711289130528E-3</v>
      </c>
      <c r="H92" s="298">
        <v>1.1456898686147282E-3</v>
      </c>
      <c r="I92" s="298">
        <v>1.1456898686147282E-3</v>
      </c>
      <c r="J92" s="298">
        <v>1.1456898686147282E-3</v>
      </c>
      <c r="K92" s="298">
        <v>1.1456898686147282E-3</v>
      </c>
      <c r="L92" s="298">
        <v>1.1456898686147282E-3</v>
      </c>
      <c r="M92" s="298">
        <v>1.1456898686147282E-3</v>
      </c>
      <c r="N92" s="298">
        <v>1.1456898686147282E-3</v>
      </c>
      <c r="O92" s="298">
        <v>1.1456898686147282E-3</v>
      </c>
      <c r="P92" s="298">
        <v>1.1456898686147282E-3</v>
      </c>
      <c r="Q92" s="298">
        <v>1.1456898686147282E-3</v>
      </c>
      <c r="R92" s="298">
        <v>1.1456898686147282E-3</v>
      </c>
      <c r="S92" s="298">
        <v>1.1456898686147282E-3</v>
      </c>
      <c r="T92" s="298">
        <v>1.1456898686147282E-3</v>
      </c>
      <c r="U92" s="298">
        <v>1.1456898686147282E-3</v>
      </c>
    </row>
    <row r="93" spans="1:21" ht="14.4" x14ac:dyDescent="0.3">
      <c r="A93" s="43">
        <v>31</v>
      </c>
      <c r="B93" s="43"/>
      <c r="C93"/>
      <c r="D93" s="298">
        <v>0.37522450205406943</v>
      </c>
      <c r="E93" s="298">
        <v>0.3592987265890541</v>
      </c>
      <c r="F93" s="298">
        <v>0.34342020861800038</v>
      </c>
      <c r="G93" s="298">
        <v>0.32749443315298504</v>
      </c>
      <c r="H93" s="298">
        <v>0.32607670833414099</v>
      </c>
      <c r="I93" s="298">
        <v>0.32607670833414099</v>
      </c>
      <c r="J93" s="298">
        <v>0.32607670833414099</v>
      </c>
      <c r="K93" s="298">
        <v>0.32607670833414099</v>
      </c>
      <c r="L93" s="298">
        <v>0.32607670833414099</v>
      </c>
      <c r="M93" s="298">
        <v>0.32607670833414099</v>
      </c>
      <c r="N93" s="298">
        <v>0.32607670833414099</v>
      </c>
      <c r="O93" s="298">
        <v>0.32607670833414099</v>
      </c>
      <c r="P93" s="298">
        <v>0.32607670833414099</v>
      </c>
      <c r="Q93" s="298">
        <v>0.32607670833414099</v>
      </c>
      <c r="R93" s="298">
        <v>0.32607670833414099</v>
      </c>
      <c r="S93" s="298">
        <v>0.32607670833414099</v>
      </c>
      <c r="T93" s="298">
        <v>0.32607670833414099</v>
      </c>
      <c r="U93" s="298">
        <v>0.32607670833414099</v>
      </c>
    </row>
    <row r="94" spans="1:21" ht="14.4" x14ac:dyDescent="0.3">
      <c r="A94" s="43">
        <v>32</v>
      </c>
      <c r="B94" s="43"/>
      <c r="C94"/>
      <c r="D94" s="298">
        <v>4.4424581385988397E-3</v>
      </c>
      <c r="E94" s="298">
        <v>4.2539054443031452E-3</v>
      </c>
      <c r="F94" s="298">
        <v>4.0659122535513558E-3</v>
      </c>
      <c r="G94" s="298">
        <v>3.8773595592556617E-3</v>
      </c>
      <c r="H94" s="298">
        <v>3.8605744529385381E-3</v>
      </c>
      <c r="I94" s="298">
        <v>3.8605744529385381E-3</v>
      </c>
      <c r="J94" s="298">
        <v>3.8605744529385381E-3</v>
      </c>
      <c r="K94" s="298">
        <v>3.8605744529385381E-3</v>
      </c>
      <c r="L94" s="298">
        <v>3.8605744529385381E-3</v>
      </c>
      <c r="M94" s="298">
        <v>3.8605744529385381E-3</v>
      </c>
      <c r="N94" s="298">
        <v>3.8605744529385381E-3</v>
      </c>
      <c r="O94" s="298">
        <v>3.8605744529385381E-3</v>
      </c>
      <c r="P94" s="298">
        <v>3.8605744529385381E-3</v>
      </c>
      <c r="Q94" s="298">
        <v>3.8605744529385381E-3</v>
      </c>
      <c r="R94" s="298">
        <v>3.8605744529385381E-3</v>
      </c>
      <c r="S94" s="298">
        <v>3.8605744529385381E-3</v>
      </c>
      <c r="T94" s="298">
        <v>3.8605744529385381E-3</v>
      </c>
      <c r="U94" s="298">
        <v>3.8605744529385381E-3</v>
      </c>
    </row>
    <row r="95" spans="1:21" ht="14.4" x14ac:dyDescent="0.3">
      <c r="A95" s="43">
        <v>33</v>
      </c>
      <c r="B95" s="43"/>
      <c r="C95"/>
      <c r="D95" s="298">
        <v>3.9151474776729251E-4</v>
      </c>
      <c r="E95" s="298">
        <v>3.7489756011016681E-4</v>
      </c>
      <c r="F95" s="298">
        <v>3.5832968161522856E-4</v>
      </c>
      <c r="G95" s="298">
        <v>3.4171249395810287E-4</v>
      </c>
      <c r="H95" s="298">
        <v>3.4023321909248342E-4</v>
      </c>
      <c r="I95" s="298">
        <v>3.4023321909248342E-4</v>
      </c>
      <c r="J95" s="298">
        <v>3.4023321909248342E-4</v>
      </c>
      <c r="K95" s="298">
        <v>3.4023321909248342E-4</v>
      </c>
      <c r="L95" s="298">
        <v>3.4023321909248342E-4</v>
      </c>
      <c r="M95" s="298">
        <v>3.4023321909248342E-4</v>
      </c>
      <c r="N95" s="298">
        <v>3.4023321909248342E-4</v>
      </c>
      <c r="O95" s="298">
        <v>3.4023321909248342E-4</v>
      </c>
      <c r="P95" s="298">
        <v>3.4023321909248342E-4</v>
      </c>
      <c r="Q95" s="298">
        <v>3.4023321909248342E-4</v>
      </c>
      <c r="R95" s="298">
        <v>3.4023321909248342E-4</v>
      </c>
      <c r="S95" s="298">
        <v>3.4023321909248342E-4</v>
      </c>
      <c r="T95" s="298">
        <v>3.4023321909248342E-4</v>
      </c>
      <c r="U95" s="298">
        <v>3.4023321909248342E-4</v>
      </c>
    </row>
    <row r="96" spans="1:21" ht="14.4" x14ac:dyDescent="0.3">
      <c r="A96" s="43">
        <v>34</v>
      </c>
      <c r="B96" s="43"/>
      <c r="C96"/>
      <c r="D96" s="298">
        <v>4.3908763413790649E-3</v>
      </c>
      <c r="E96" s="298">
        <v>4.2045129500636056E-3</v>
      </c>
      <c r="F96" s="298">
        <v>4.018702565844039E-3</v>
      </c>
      <c r="G96" s="298">
        <v>3.8323391745285792E-3</v>
      </c>
      <c r="H96" s="298">
        <v>3.8157489616518327E-3</v>
      </c>
      <c r="I96" s="298">
        <v>3.8157489616518327E-3</v>
      </c>
      <c r="J96" s="298">
        <v>3.8157489616518327E-3</v>
      </c>
      <c r="K96" s="298">
        <v>3.8157489616518327E-3</v>
      </c>
      <c r="L96" s="298">
        <v>3.8157489616518327E-3</v>
      </c>
      <c r="M96" s="298">
        <v>3.8157489616518327E-3</v>
      </c>
      <c r="N96" s="298">
        <v>3.8157489616518327E-3</v>
      </c>
      <c r="O96" s="298">
        <v>3.8157489616518327E-3</v>
      </c>
      <c r="P96" s="298">
        <v>3.8157489616518327E-3</v>
      </c>
      <c r="Q96" s="298">
        <v>3.8157489616518327E-3</v>
      </c>
      <c r="R96" s="298">
        <v>3.8157489616518327E-3</v>
      </c>
      <c r="S96" s="298">
        <v>3.8157489616518327E-3</v>
      </c>
      <c r="T96" s="298">
        <v>3.8157489616518327E-3</v>
      </c>
      <c r="U96" s="298">
        <v>3.8157489616518327E-3</v>
      </c>
    </row>
    <row r="97" spans="1:21" ht="14.4" x14ac:dyDescent="0.3">
      <c r="A97" s="43">
        <v>35</v>
      </c>
      <c r="B97" s="43"/>
      <c r="C97"/>
      <c r="D97" s="298">
        <v>0.28137093963309123</v>
      </c>
      <c r="E97" s="298">
        <v>0.2694286214144071</v>
      </c>
      <c r="F97" s="298">
        <v>0.25752174034177255</v>
      </c>
      <c r="G97" s="298">
        <v>0.24557942212308842</v>
      </c>
      <c r="H97" s="298">
        <v>0.24451630774160321</v>
      </c>
      <c r="I97" s="298">
        <v>0.24451630774160321</v>
      </c>
      <c r="J97" s="298">
        <v>0.24451630774160321</v>
      </c>
      <c r="K97" s="298">
        <v>0.24451630774160321</v>
      </c>
      <c r="L97" s="298">
        <v>0.24451630774160321</v>
      </c>
      <c r="M97" s="298">
        <v>0.24451630774160321</v>
      </c>
      <c r="N97" s="298">
        <v>0.24451630774160321</v>
      </c>
      <c r="O97" s="298">
        <v>0.24451630774160321</v>
      </c>
      <c r="P97" s="298">
        <v>0.24451630774160321</v>
      </c>
      <c r="Q97" s="298">
        <v>0.24451630774160321</v>
      </c>
      <c r="R97" s="298">
        <v>0.24451630774160321</v>
      </c>
      <c r="S97" s="298">
        <v>0.24451630774160321</v>
      </c>
      <c r="T97" s="298">
        <v>0.24451630774160321</v>
      </c>
      <c r="U97" s="298">
        <v>0.24451630774160321</v>
      </c>
    </row>
    <row r="98" spans="1:21" ht="14.4" x14ac:dyDescent="0.3">
      <c r="A98" s="43">
        <v>36</v>
      </c>
      <c r="B98" s="43"/>
      <c r="C98"/>
      <c r="D98" s="298">
        <v>1.0040096615005793E-3</v>
      </c>
      <c r="E98" s="298">
        <v>9.613961531975949E-4</v>
      </c>
      <c r="F98" s="298">
        <v>9.1890909447414485E-4</v>
      </c>
      <c r="G98" s="298">
        <v>8.7629558617116036E-4</v>
      </c>
      <c r="H98" s="298">
        <v>8.7250209878513821E-4</v>
      </c>
      <c r="I98" s="298">
        <v>8.7250209878513821E-4</v>
      </c>
      <c r="J98" s="298">
        <v>8.7250209878513821E-4</v>
      </c>
      <c r="K98" s="298">
        <v>8.7250209878513821E-4</v>
      </c>
      <c r="L98" s="298">
        <v>8.7250209878513821E-4</v>
      </c>
      <c r="M98" s="298">
        <v>8.7250209878513821E-4</v>
      </c>
      <c r="N98" s="298">
        <v>8.7250209878513821E-4</v>
      </c>
      <c r="O98" s="298">
        <v>8.7250209878513821E-4</v>
      </c>
      <c r="P98" s="298">
        <v>8.7250209878513821E-4</v>
      </c>
      <c r="Q98" s="298">
        <v>8.7250209878513821E-4</v>
      </c>
      <c r="R98" s="298">
        <v>8.7250209878513821E-4</v>
      </c>
      <c r="S98" s="298">
        <v>8.7250209878513821E-4</v>
      </c>
      <c r="T98" s="298">
        <v>8.7250209878513821E-4</v>
      </c>
      <c r="U98" s="298">
        <v>8.7250209878513821E-4</v>
      </c>
    </row>
    <row r="99" spans="1:21" ht="14.4" x14ac:dyDescent="0.3">
      <c r="A99" s="43">
        <v>37</v>
      </c>
      <c r="B99" s="43"/>
      <c r="C99"/>
      <c r="D99" s="298">
        <v>0.27092015251503732</v>
      </c>
      <c r="E99" s="298">
        <v>0.25942140044985246</v>
      </c>
      <c r="F99" s="298">
        <v>0.24795676931067712</v>
      </c>
      <c r="G99" s="298">
        <v>0.23645801724549223</v>
      </c>
      <c r="H99" s="298">
        <v>0.23543438946520875</v>
      </c>
      <c r="I99" s="298">
        <v>0.23543438946520875</v>
      </c>
      <c r="J99" s="298">
        <v>0.23543438946520875</v>
      </c>
      <c r="K99" s="298">
        <v>0.23543438946520875</v>
      </c>
      <c r="L99" s="298">
        <v>0.23543438946520875</v>
      </c>
      <c r="M99" s="298">
        <v>0.23543438946520875</v>
      </c>
      <c r="N99" s="298">
        <v>0.23543438946520875</v>
      </c>
      <c r="O99" s="298">
        <v>0.23543438946520875</v>
      </c>
      <c r="P99" s="298">
        <v>0.23543438946520875</v>
      </c>
      <c r="Q99" s="298">
        <v>0.23543438946520875</v>
      </c>
      <c r="R99" s="298">
        <v>0.23543438946520875</v>
      </c>
      <c r="S99" s="298">
        <v>0.23543438946520875</v>
      </c>
      <c r="T99" s="298">
        <v>0.23543438946520875</v>
      </c>
      <c r="U99" s="298">
        <v>0.23543438946520875</v>
      </c>
    </row>
    <row r="100" spans="1:21" ht="14.4" x14ac:dyDescent="0.3">
      <c r="A100" s="43">
        <v>38</v>
      </c>
      <c r="B100" s="43"/>
      <c r="C100"/>
      <c r="D100" s="298">
        <v>1.8622727625131231E-3</v>
      </c>
      <c r="E100" s="298">
        <v>1.7832317145324021E-3</v>
      </c>
      <c r="F100" s="298">
        <v>1.7044252097207641E-3</v>
      </c>
      <c r="G100" s="298">
        <v>1.6253841617400431E-3</v>
      </c>
      <c r="H100" s="298">
        <v>1.6183478666675756E-3</v>
      </c>
      <c r="I100" s="298">
        <v>1.6183478666675756E-3</v>
      </c>
      <c r="J100" s="298">
        <v>1.6183478666675756E-3</v>
      </c>
      <c r="K100" s="298">
        <v>1.6183478666675756E-3</v>
      </c>
      <c r="L100" s="298">
        <v>1.6183478666675756E-3</v>
      </c>
      <c r="M100" s="298">
        <v>1.6183478666675756E-3</v>
      </c>
      <c r="N100" s="298">
        <v>1.6183478666675756E-3</v>
      </c>
      <c r="O100" s="298">
        <v>1.6183478666675756E-3</v>
      </c>
      <c r="P100" s="298">
        <v>1.6183478666675756E-3</v>
      </c>
      <c r="Q100" s="298">
        <v>1.6183478666675756E-3</v>
      </c>
      <c r="R100" s="298">
        <v>1.6183478666675756E-3</v>
      </c>
      <c r="S100" s="298">
        <v>1.6183478666675756E-3</v>
      </c>
      <c r="T100" s="298">
        <v>1.6183478666675756E-3</v>
      </c>
      <c r="U100" s="298">
        <v>1.6183478666675756E-3</v>
      </c>
    </row>
    <row r="101" spans="1:21" ht="14.4" x14ac:dyDescent="0.3">
      <c r="A101" s="43">
        <v>39</v>
      </c>
      <c r="B101" s="43"/>
      <c r="C101"/>
      <c r="D101" s="298">
        <v>1.0570059255579811E-3</v>
      </c>
      <c r="E101" s="298">
        <v>1.0121430795991598E-3</v>
      </c>
      <c r="F101" s="298">
        <v>9.6741335781232358E-4</v>
      </c>
      <c r="G101" s="298">
        <v>9.2255051185350235E-4</v>
      </c>
      <c r="H101" s="298">
        <v>9.185567866939635E-4</v>
      </c>
      <c r="I101" s="298">
        <v>9.185567866939635E-4</v>
      </c>
      <c r="J101" s="298">
        <v>9.185567866939635E-4</v>
      </c>
      <c r="K101" s="298">
        <v>9.185567866939635E-4</v>
      </c>
      <c r="L101" s="298">
        <v>9.185567866939635E-4</v>
      </c>
      <c r="M101" s="298">
        <v>9.185567866939635E-4</v>
      </c>
      <c r="N101" s="298">
        <v>9.185567866939635E-4</v>
      </c>
      <c r="O101" s="298">
        <v>9.185567866939635E-4</v>
      </c>
      <c r="P101" s="298">
        <v>9.185567866939635E-4</v>
      </c>
      <c r="Q101" s="298">
        <v>9.185567866939635E-4</v>
      </c>
      <c r="R101" s="298">
        <v>9.185567866939635E-4</v>
      </c>
      <c r="S101" s="298">
        <v>9.185567866939635E-4</v>
      </c>
      <c r="T101" s="298">
        <v>9.185567866939635E-4</v>
      </c>
      <c r="U101" s="298">
        <v>9.185567866939635E-4</v>
      </c>
    </row>
    <row r="102" spans="1:21" ht="14.4" x14ac:dyDescent="0.3">
      <c r="A102" s="43">
        <v>40</v>
      </c>
      <c r="B102" s="43"/>
      <c r="C102"/>
      <c r="D102" s="298">
        <v>2.5153513422795128E-3</v>
      </c>
      <c r="E102" s="298">
        <v>2.4085914679283543E-3</v>
      </c>
      <c r="F102" s="298">
        <v>2.3021483884565768E-3</v>
      </c>
      <c r="G102" s="298">
        <v>2.1953885141054183E-3</v>
      </c>
      <c r="H102" s="298">
        <v>2.1858846677240097E-3</v>
      </c>
      <c r="I102" s="298">
        <v>2.1858846677240097E-3</v>
      </c>
      <c r="J102" s="298">
        <v>2.1858846677240097E-3</v>
      </c>
      <c r="K102" s="298">
        <v>2.1858846677240097E-3</v>
      </c>
      <c r="L102" s="298">
        <v>2.1858846677240097E-3</v>
      </c>
      <c r="M102" s="298">
        <v>2.1858846677240097E-3</v>
      </c>
      <c r="N102" s="298">
        <v>2.1858846677240097E-3</v>
      </c>
      <c r="O102" s="298">
        <v>2.1858846677240097E-3</v>
      </c>
      <c r="P102" s="298">
        <v>2.1858846677240097E-3</v>
      </c>
      <c r="Q102" s="298">
        <v>2.1858846677240097E-3</v>
      </c>
      <c r="R102" s="298">
        <v>2.1858846677240097E-3</v>
      </c>
      <c r="S102" s="298">
        <v>2.1858846677240097E-3</v>
      </c>
      <c r="T102" s="298">
        <v>2.1858846677240097E-3</v>
      </c>
      <c r="U102" s="298">
        <v>2.1858846677240097E-3</v>
      </c>
    </row>
    <row r="103" spans="1:21" ht="14.4" x14ac:dyDescent="0.3">
      <c r="A103" s="43">
        <v>41</v>
      </c>
      <c r="B103" s="43"/>
      <c r="C103"/>
      <c r="D103" s="298">
        <v>0.20191949245733634</v>
      </c>
      <c r="E103" s="298">
        <v>0.19334935782784987</v>
      </c>
      <c r="F103" s="298">
        <v>0.18480465386491982</v>
      </c>
      <c r="G103" s="298">
        <v>0.17623451923543335</v>
      </c>
      <c r="H103" s="298">
        <v>0.17547159923874317</v>
      </c>
      <c r="I103" s="298">
        <v>0.17547159923874317</v>
      </c>
      <c r="J103" s="298">
        <v>0.17547159923874317</v>
      </c>
      <c r="K103" s="298">
        <v>0.17547159923874317</v>
      </c>
      <c r="L103" s="298">
        <v>0.17547159923874317</v>
      </c>
      <c r="M103" s="298">
        <v>0.17547159923874317</v>
      </c>
      <c r="N103" s="298">
        <v>0.17547159923874317</v>
      </c>
      <c r="O103" s="298">
        <v>0.17547159923874317</v>
      </c>
      <c r="P103" s="298">
        <v>0.17547159923874317</v>
      </c>
      <c r="Q103" s="298">
        <v>0.17547159923874317</v>
      </c>
      <c r="R103" s="298">
        <v>0.17547159923874317</v>
      </c>
      <c r="S103" s="298">
        <v>0.17547159923874317</v>
      </c>
      <c r="T103" s="298">
        <v>0.17547159923874317</v>
      </c>
      <c r="U103" s="298">
        <v>0.17547159923874317</v>
      </c>
    </row>
    <row r="104" spans="1:21" ht="14.4" x14ac:dyDescent="0.3">
      <c r="A104" s="43">
        <v>42</v>
      </c>
      <c r="B104" s="43"/>
      <c r="C104"/>
      <c r="D104" s="298">
        <v>3.8340122241814256E-4</v>
      </c>
      <c r="E104" s="298">
        <v>3.671283997537957E-4</v>
      </c>
      <c r="F104" s="298">
        <v>3.5090386439705823E-4</v>
      </c>
      <c r="G104" s="298">
        <v>3.3463104173271131E-4</v>
      </c>
      <c r="H104" s="298">
        <v>3.3318242250443119E-4</v>
      </c>
      <c r="I104" s="298">
        <v>3.3318242250443119E-4</v>
      </c>
      <c r="J104" s="298">
        <v>3.3318242250443119E-4</v>
      </c>
      <c r="K104" s="298">
        <v>3.3318242250443119E-4</v>
      </c>
      <c r="L104" s="298">
        <v>3.3318242250443119E-4</v>
      </c>
      <c r="M104" s="298">
        <v>3.3318242250443119E-4</v>
      </c>
      <c r="N104" s="298">
        <v>3.3318242250443119E-4</v>
      </c>
      <c r="O104" s="298">
        <v>3.3318242250443119E-4</v>
      </c>
      <c r="P104" s="298">
        <v>3.3318242250443119E-4</v>
      </c>
      <c r="Q104" s="298">
        <v>3.3318242250443119E-4</v>
      </c>
      <c r="R104" s="298">
        <v>3.3318242250443119E-4</v>
      </c>
      <c r="S104" s="298">
        <v>3.3318242250443119E-4</v>
      </c>
      <c r="T104" s="298">
        <v>3.3318242250443119E-4</v>
      </c>
      <c r="U104" s="298">
        <v>3.3318242250443119E-4</v>
      </c>
    </row>
    <row r="105" spans="1:21" ht="14.4" x14ac:dyDescent="0.3">
      <c r="A105" s="43">
        <v>43</v>
      </c>
      <c r="B105" s="43"/>
      <c r="C105"/>
      <c r="D105" s="298">
        <v>0.17961384514704054</v>
      </c>
      <c r="E105" s="298">
        <v>0.17199043635427569</v>
      </c>
      <c r="F105" s="298">
        <v>0.16438964895258737</v>
      </c>
      <c r="G105" s="298">
        <v>0.15676624015982252</v>
      </c>
      <c r="H105" s="298">
        <v>0.15608759842752892</v>
      </c>
      <c r="I105" s="298">
        <v>0.15608759842752892</v>
      </c>
      <c r="J105" s="298">
        <v>0.15608759842752892</v>
      </c>
      <c r="K105" s="298">
        <v>0.15608759842752892</v>
      </c>
      <c r="L105" s="298">
        <v>0.15608759842752892</v>
      </c>
      <c r="M105" s="298">
        <v>0.15608759842752892</v>
      </c>
      <c r="N105" s="298">
        <v>0.15608759842752892</v>
      </c>
      <c r="O105" s="298">
        <v>0.15608759842752892</v>
      </c>
      <c r="P105" s="298">
        <v>0.15608759842752892</v>
      </c>
      <c r="Q105" s="298">
        <v>0.15608759842752892</v>
      </c>
      <c r="R105" s="298">
        <v>0.15608759842752892</v>
      </c>
      <c r="S105" s="298">
        <v>0.15608759842752892</v>
      </c>
      <c r="T105" s="298">
        <v>0.15608759842752892</v>
      </c>
      <c r="U105" s="298">
        <v>0.15608759842752892</v>
      </c>
    </row>
    <row r="106" spans="1:21" ht="14.4" x14ac:dyDescent="0.3">
      <c r="A106" s="43">
        <v>44</v>
      </c>
      <c r="B106" s="43"/>
      <c r="C106"/>
      <c r="D106" s="298">
        <v>2.9535913908984327E-3</v>
      </c>
      <c r="E106" s="298">
        <v>2.8282311517633229E-3</v>
      </c>
      <c r="F106" s="298">
        <v>2.7032429014683767E-3</v>
      </c>
      <c r="G106" s="298">
        <v>2.5778826623332669E-3</v>
      </c>
      <c r="H106" s="298">
        <v>2.5667229971283612E-3</v>
      </c>
      <c r="I106" s="298">
        <v>2.5667229971283612E-3</v>
      </c>
      <c r="J106" s="298">
        <v>2.5667229971283612E-3</v>
      </c>
      <c r="K106" s="298">
        <v>2.5667229971283612E-3</v>
      </c>
      <c r="L106" s="298">
        <v>2.5667229971283612E-3</v>
      </c>
      <c r="M106" s="298">
        <v>2.5667229971283612E-3</v>
      </c>
      <c r="N106" s="298">
        <v>2.5667229971283612E-3</v>
      </c>
      <c r="O106" s="298">
        <v>2.5667229971283612E-3</v>
      </c>
      <c r="P106" s="298">
        <v>2.5667229971283612E-3</v>
      </c>
      <c r="Q106" s="298">
        <v>2.5667229971283612E-3</v>
      </c>
      <c r="R106" s="298">
        <v>2.5667229971283612E-3</v>
      </c>
      <c r="S106" s="298">
        <v>2.5667229971283612E-3</v>
      </c>
      <c r="T106" s="298">
        <v>2.5667229971283612E-3</v>
      </c>
      <c r="U106" s="298">
        <v>2.5667229971283612E-3</v>
      </c>
    </row>
    <row r="107" spans="1:21" ht="14.4" x14ac:dyDescent="0.3">
      <c r="A107" s="43">
        <v>45</v>
      </c>
      <c r="B107" s="43"/>
      <c r="C107"/>
      <c r="D107" s="298">
        <v>5.62414186424853E-4</v>
      </c>
      <c r="E107" s="298">
        <v>5.385434583612288E-4</v>
      </c>
      <c r="F107" s="298">
        <v>5.1474356331856509E-4</v>
      </c>
      <c r="G107" s="298">
        <v>4.9087283525494089E-4</v>
      </c>
      <c r="H107" s="298">
        <v>4.8874784462613172E-4</v>
      </c>
      <c r="I107" s="298">
        <v>4.8874784462613172E-4</v>
      </c>
      <c r="J107" s="298">
        <v>4.8874784462613172E-4</v>
      </c>
      <c r="K107" s="298">
        <v>4.8874784462613172E-4</v>
      </c>
      <c r="L107" s="298">
        <v>4.8874784462613172E-4</v>
      </c>
      <c r="M107" s="298">
        <v>4.8874784462613172E-4</v>
      </c>
      <c r="N107" s="298">
        <v>4.8874784462613172E-4</v>
      </c>
      <c r="O107" s="298">
        <v>4.8874784462613172E-4</v>
      </c>
      <c r="P107" s="298">
        <v>4.8874784462613172E-4</v>
      </c>
      <c r="Q107" s="298">
        <v>4.8874784462613172E-4</v>
      </c>
      <c r="R107" s="298">
        <v>4.8874784462613172E-4</v>
      </c>
      <c r="S107" s="298">
        <v>4.8874784462613172E-4</v>
      </c>
      <c r="T107" s="298">
        <v>4.8874784462613172E-4</v>
      </c>
      <c r="U107" s="298">
        <v>4.8874784462613172E-4</v>
      </c>
    </row>
    <row r="108" spans="1:21" ht="14.4" x14ac:dyDescent="0.3">
      <c r="A108" s="43">
        <v>46</v>
      </c>
      <c r="B108" s="43"/>
      <c r="C108"/>
      <c r="D108" s="298">
        <v>2.2562469109391674E-3</v>
      </c>
      <c r="E108" s="298">
        <v>2.1604842901600109E-3</v>
      </c>
      <c r="F108" s="298">
        <v>2.0650058314603185E-3</v>
      </c>
      <c r="G108" s="298">
        <v>1.9692432106811625E-3</v>
      </c>
      <c r="H108" s="298">
        <v>1.9607183482972614E-3</v>
      </c>
      <c r="I108" s="298">
        <v>1.9607183482972614E-3</v>
      </c>
      <c r="J108" s="298">
        <v>1.9607183482972614E-3</v>
      </c>
      <c r="K108" s="298">
        <v>1.9607183482972614E-3</v>
      </c>
      <c r="L108" s="298">
        <v>1.9607183482972614E-3</v>
      </c>
      <c r="M108" s="298">
        <v>1.9607183482972614E-3</v>
      </c>
      <c r="N108" s="298">
        <v>1.9607183482972614E-3</v>
      </c>
      <c r="O108" s="298">
        <v>1.9607183482972614E-3</v>
      </c>
      <c r="P108" s="298">
        <v>1.9607183482972614E-3</v>
      </c>
      <c r="Q108" s="298">
        <v>1.9607183482972614E-3</v>
      </c>
      <c r="R108" s="298">
        <v>1.9607183482972614E-3</v>
      </c>
      <c r="S108" s="298">
        <v>1.9607183482972614E-3</v>
      </c>
      <c r="T108" s="298">
        <v>1.9607183482972614E-3</v>
      </c>
      <c r="U108" s="298">
        <v>1.9607183482972614E-3</v>
      </c>
    </row>
    <row r="109" spans="1:21" ht="14.4" x14ac:dyDescent="0.3">
      <c r="A109" s="43">
        <v>47</v>
      </c>
      <c r="B109" s="43"/>
      <c r="C109"/>
      <c r="D109" s="298">
        <v>0.16909722628179949</v>
      </c>
      <c r="E109" s="298">
        <v>0.16192017776077094</v>
      </c>
      <c r="F109" s="298">
        <v>0.15476442611962682</v>
      </c>
      <c r="G109" s="298">
        <v>0.14758737759859827</v>
      </c>
      <c r="H109" s="298">
        <v>0.14694847120206758</v>
      </c>
      <c r="I109" s="298">
        <v>0.14694847120206758</v>
      </c>
      <c r="J109" s="298">
        <v>0.14694847120206758</v>
      </c>
      <c r="K109" s="298">
        <v>0.14694847120206758</v>
      </c>
      <c r="L109" s="298">
        <v>0.14694847120206758</v>
      </c>
      <c r="M109" s="298">
        <v>0.14694847120206758</v>
      </c>
      <c r="N109" s="298">
        <v>0.14694847120206758</v>
      </c>
      <c r="O109" s="298">
        <v>0.14694847120206758</v>
      </c>
      <c r="P109" s="298">
        <v>0.14694847120206758</v>
      </c>
      <c r="Q109" s="298">
        <v>0.14694847120206758</v>
      </c>
      <c r="R109" s="298">
        <v>0.14694847120206758</v>
      </c>
      <c r="S109" s="298">
        <v>0.14694847120206758</v>
      </c>
      <c r="T109" s="298">
        <v>0.14694847120206758</v>
      </c>
      <c r="U109" s="298">
        <v>0.14694847120206758</v>
      </c>
    </row>
    <row r="110" spans="1:21" ht="14.4" x14ac:dyDescent="0.3">
      <c r="A110" s="43">
        <v>48</v>
      </c>
      <c r="B110" s="43"/>
      <c r="C110"/>
      <c r="D110" s="298">
        <v>8.0287041423767705E-4</v>
      </c>
      <c r="E110" s="298">
        <v>7.6879392436386121E-4</v>
      </c>
      <c r="F110" s="298">
        <v>7.348185516706801E-4</v>
      </c>
      <c r="G110" s="298">
        <v>7.0074206179686414E-4</v>
      </c>
      <c r="H110" s="298">
        <v>6.9770854637783025E-4</v>
      </c>
      <c r="I110" s="298">
        <v>6.9770854637783025E-4</v>
      </c>
      <c r="J110" s="298">
        <v>6.9770854637783025E-4</v>
      </c>
      <c r="K110" s="298">
        <v>6.9770854637783025E-4</v>
      </c>
      <c r="L110" s="298">
        <v>6.9770854637783025E-4</v>
      </c>
      <c r="M110" s="298">
        <v>6.9770854637783025E-4</v>
      </c>
      <c r="N110" s="298">
        <v>6.9770854637783025E-4</v>
      </c>
      <c r="O110" s="298">
        <v>6.9770854637783025E-4</v>
      </c>
      <c r="P110" s="298">
        <v>6.9770854637783025E-4</v>
      </c>
      <c r="Q110" s="298">
        <v>6.9770854637783025E-4</v>
      </c>
      <c r="R110" s="298">
        <v>6.9770854637783025E-4</v>
      </c>
      <c r="S110" s="298">
        <v>6.9770854637783025E-4</v>
      </c>
      <c r="T110" s="298">
        <v>6.9770854637783025E-4</v>
      </c>
      <c r="U110" s="298">
        <v>6.9770854637783025E-4</v>
      </c>
    </row>
    <row r="111" spans="1:21" ht="14.4" x14ac:dyDescent="0.3">
      <c r="A111" s="43">
        <v>49</v>
      </c>
      <c r="B111" s="43"/>
      <c r="C111"/>
      <c r="D111" s="298">
        <v>0.14794140874690948</v>
      </c>
      <c r="E111" s="298">
        <v>0.14166228346382276</v>
      </c>
      <c r="F111" s="298">
        <v>0.1354017905999737</v>
      </c>
      <c r="G111" s="298">
        <v>0.12912266531688699</v>
      </c>
      <c r="H111" s="298">
        <v>0.1285636927397576</v>
      </c>
      <c r="I111" s="298">
        <v>0.1285636927397576</v>
      </c>
      <c r="J111" s="298">
        <v>0.1285636927397576</v>
      </c>
      <c r="K111" s="298">
        <v>0.1285636927397576</v>
      </c>
      <c r="L111" s="298">
        <v>0.1285636927397576</v>
      </c>
      <c r="M111" s="298">
        <v>0.1285636927397576</v>
      </c>
      <c r="N111" s="298">
        <v>0.1285636927397576</v>
      </c>
      <c r="O111" s="298">
        <v>0.1285636927397576</v>
      </c>
      <c r="P111" s="298">
        <v>0.1285636927397576</v>
      </c>
      <c r="Q111" s="298">
        <v>0.1285636927397576</v>
      </c>
      <c r="R111" s="298">
        <v>0.1285636927397576</v>
      </c>
      <c r="S111" s="298">
        <v>0.1285636927397576</v>
      </c>
      <c r="T111" s="298">
        <v>0.1285636927397576</v>
      </c>
      <c r="U111" s="298">
        <v>0.1285636927397576</v>
      </c>
    </row>
    <row r="112" spans="1:21" ht="14.4" x14ac:dyDescent="0.3">
      <c r="A112" s="43">
        <v>50</v>
      </c>
      <c r="B112" s="43"/>
      <c r="C112"/>
      <c r="D112" s="298">
        <v>2.2559399315124204E-3</v>
      </c>
      <c r="E112" s="298">
        <v>2.1601903399608223E-3</v>
      </c>
      <c r="F112" s="298">
        <v>2.0647248718262921E-3</v>
      </c>
      <c r="G112" s="298">
        <v>1.9689752802746941E-3</v>
      </c>
      <c r="H112" s="298">
        <v>1.9604515777626825E-3</v>
      </c>
      <c r="I112" s="298">
        <v>1.9604515777626825E-3</v>
      </c>
      <c r="J112" s="298">
        <v>1.9604515777626825E-3</v>
      </c>
      <c r="K112" s="298">
        <v>1.9604515777626825E-3</v>
      </c>
      <c r="L112" s="298">
        <v>1.9604515777626825E-3</v>
      </c>
      <c r="M112" s="298">
        <v>1.9604515777626825E-3</v>
      </c>
      <c r="N112" s="298">
        <v>1.9604515777626825E-3</v>
      </c>
      <c r="O112" s="298">
        <v>1.9604515777626825E-3</v>
      </c>
      <c r="P112" s="298">
        <v>1.9604515777626825E-3</v>
      </c>
      <c r="Q112" s="298">
        <v>1.9604515777626825E-3</v>
      </c>
      <c r="R112" s="298">
        <v>1.9604515777626825E-3</v>
      </c>
      <c r="S112" s="298">
        <v>1.9604515777626825E-3</v>
      </c>
      <c r="T112" s="298">
        <v>1.9604515777626825E-3</v>
      </c>
      <c r="U112" s="298">
        <v>1.9604515777626825E-3</v>
      </c>
    </row>
    <row r="113" spans="2:21" x14ac:dyDescent="0.25">
      <c r="D113" s="51"/>
      <c r="E113" s="32"/>
      <c r="F113" s="32"/>
      <c r="G113" s="32"/>
    </row>
    <row r="114" spans="2:21" x14ac:dyDescent="0.25">
      <c r="B114" s="26" t="s">
        <v>5</v>
      </c>
      <c r="D114" s="32">
        <f t="shared" ref="D114:U114" si="7">SQRT(SUMSQ(D64:D112))</f>
        <v>7.9343393760521677</v>
      </c>
      <c r="E114" s="32">
        <f t="shared" si="7"/>
        <v>7.597579631753729</v>
      </c>
      <c r="F114" s="32">
        <f t="shared" si="7"/>
        <v>7.2618191745303644</v>
      </c>
      <c r="G114" s="32">
        <f t="shared" si="7"/>
        <v>6.9250594302319293</v>
      </c>
      <c r="H114" s="32">
        <f t="shared" si="7"/>
        <v>6.8950808179798431</v>
      </c>
      <c r="I114" s="32">
        <f t="shared" si="7"/>
        <v>6.8950808179798431</v>
      </c>
      <c r="J114" s="32">
        <f t="shared" si="7"/>
        <v>6.8950808179798431</v>
      </c>
      <c r="K114" s="32">
        <f t="shared" si="7"/>
        <v>6.8950808179798431</v>
      </c>
      <c r="L114" s="32">
        <f t="shared" si="7"/>
        <v>6.8950808179798431</v>
      </c>
      <c r="M114" s="32">
        <f t="shared" si="7"/>
        <v>6.8950808179798431</v>
      </c>
      <c r="N114" s="32">
        <f t="shared" si="7"/>
        <v>6.8950808179798431</v>
      </c>
      <c r="O114" s="32">
        <f t="shared" si="7"/>
        <v>6.8950808179798431</v>
      </c>
      <c r="P114" s="32">
        <f t="shared" si="7"/>
        <v>6.8950808179798431</v>
      </c>
      <c r="Q114" s="32">
        <f t="shared" si="7"/>
        <v>6.8950808179798431</v>
      </c>
      <c r="R114" s="32">
        <f t="shared" si="7"/>
        <v>6.8950808179798431</v>
      </c>
      <c r="S114" s="32">
        <f t="shared" si="7"/>
        <v>6.8950808179798431</v>
      </c>
      <c r="T114" s="32">
        <f t="shared" si="7"/>
        <v>6.8950808179798431</v>
      </c>
      <c r="U114" s="32">
        <f t="shared" si="7"/>
        <v>6.8950808179798431</v>
      </c>
    </row>
    <row r="115" spans="2:21" x14ac:dyDescent="0.25">
      <c r="S115" s="82"/>
    </row>
    <row r="116" spans="2:21" x14ac:dyDescent="0.25">
      <c r="D116" s="32"/>
      <c r="E116" s="32"/>
      <c r="F116" s="32"/>
      <c r="G116" s="32"/>
      <c r="H116" s="32"/>
      <c r="I116" s="32"/>
      <c r="M116" s="32"/>
      <c r="N116" s="32"/>
    </row>
    <row r="118" spans="2:21" x14ac:dyDescent="0.25">
      <c r="D118" s="32"/>
      <c r="E118" s="32"/>
      <c r="F118" s="32"/>
      <c r="G118" s="32"/>
      <c r="H118" s="32"/>
      <c r="I118" s="32"/>
    </row>
  </sheetData>
  <pageMargins left="0.75" right="0.75" top="1" bottom="1" header="0.5" footer="0.5"/>
  <pageSetup scale="42" fitToHeight="2" orientation="portrait" r:id="rId1"/>
  <headerFooter alignWithMargins="0">
    <oddHeader>&amp;R&amp;D
&amp;T
rh</oddHeader>
    <oddFooter>&amp;L&amp;F
&amp;A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U118"/>
  <sheetViews>
    <sheetView workbookViewId="0"/>
  </sheetViews>
  <sheetFormatPr defaultRowHeight="13.2" x14ac:dyDescent="0.25"/>
  <cols>
    <col min="1" max="6" width="9.109375" style="26"/>
    <col min="7" max="7" width="9.109375" style="26" customWidth="1"/>
    <col min="8" max="8" width="10.6640625" style="26" customWidth="1"/>
    <col min="9" max="262" width="9.109375" style="26"/>
    <col min="263" max="263" width="9.5546875" style="26" bestFit="1" customWidth="1"/>
    <col min="264" max="264" width="10.6640625" style="26" customWidth="1"/>
    <col min="265" max="518" width="9.109375" style="26"/>
    <col min="519" max="519" width="9.5546875" style="26" bestFit="1" customWidth="1"/>
    <col min="520" max="520" width="10.6640625" style="26" customWidth="1"/>
    <col min="521" max="774" width="9.109375" style="26"/>
    <col min="775" max="775" width="9.5546875" style="26" bestFit="1" customWidth="1"/>
    <col min="776" max="776" width="10.6640625" style="26" customWidth="1"/>
    <col min="777" max="1030" width="9.109375" style="26"/>
    <col min="1031" max="1031" width="9.5546875" style="26" bestFit="1" customWidth="1"/>
    <col min="1032" max="1032" width="10.6640625" style="26" customWidth="1"/>
    <col min="1033" max="1286" width="9.109375" style="26"/>
    <col min="1287" max="1287" width="9.5546875" style="26" bestFit="1" customWidth="1"/>
    <col min="1288" max="1288" width="10.6640625" style="26" customWidth="1"/>
    <col min="1289" max="1542" width="9.109375" style="26"/>
    <col min="1543" max="1543" width="9.5546875" style="26" bestFit="1" customWidth="1"/>
    <col min="1544" max="1544" width="10.6640625" style="26" customWidth="1"/>
    <col min="1545" max="1798" width="9.109375" style="26"/>
    <col min="1799" max="1799" width="9.5546875" style="26" bestFit="1" customWidth="1"/>
    <col min="1800" max="1800" width="10.6640625" style="26" customWidth="1"/>
    <col min="1801" max="2054" width="9.109375" style="26"/>
    <col min="2055" max="2055" width="9.5546875" style="26" bestFit="1" customWidth="1"/>
    <col min="2056" max="2056" width="10.6640625" style="26" customWidth="1"/>
    <col min="2057" max="2310" width="9.109375" style="26"/>
    <col min="2311" max="2311" width="9.5546875" style="26" bestFit="1" customWidth="1"/>
    <col min="2312" max="2312" width="10.6640625" style="26" customWidth="1"/>
    <col min="2313" max="2566" width="9.109375" style="26"/>
    <col min="2567" max="2567" width="9.5546875" style="26" bestFit="1" customWidth="1"/>
    <col min="2568" max="2568" width="10.6640625" style="26" customWidth="1"/>
    <col min="2569" max="2822" width="9.109375" style="26"/>
    <col min="2823" max="2823" width="9.5546875" style="26" bestFit="1" customWidth="1"/>
    <col min="2824" max="2824" width="10.6640625" style="26" customWidth="1"/>
    <col min="2825" max="3078" width="9.109375" style="26"/>
    <col min="3079" max="3079" width="9.5546875" style="26" bestFit="1" customWidth="1"/>
    <col min="3080" max="3080" width="10.6640625" style="26" customWidth="1"/>
    <col min="3081" max="3334" width="9.109375" style="26"/>
    <col min="3335" max="3335" width="9.5546875" style="26" bestFit="1" customWidth="1"/>
    <col min="3336" max="3336" width="10.6640625" style="26" customWidth="1"/>
    <col min="3337" max="3590" width="9.109375" style="26"/>
    <col min="3591" max="3591" width="9.5546875" style="26" bestFit="1" customWidth="1"/>
    <col min="3592" max="3592" width="10.6640625" style="26" customWidth="1"/>
    <col min="3593" max="3846" width="9.109375" style="26"/>
    <col min="3847" max="3847" width="9.5546875" style="26" bestFit="1" customWidth="1"/>
    <col min="3848" max="3848" width="10.6640625" style="26" customWidth="1"/>
    <col min="3849" max="4102" width="9.109375" style="26"/>
    <col min="4103" max="4103" width="9.5546875" style="26" bestFit="1" customWidth="1"/>
    <col min="4104" max="4104" width="10.6640625" style="26" customWidth="1"/>
    <col min="4105" max="4358" width="9.109375" style="26"/>
    <col min="4359" max="4359" width="9.5546875" style="26" bestFit="1" customWidth="1"/>
    <col min="4360" max="4360" width="10.6640625" style="26" customWidth="1"/>
    <col min="4361" max="4614" width="9.109375" style="26"/>
    <col min="4615" max="4615" width="9.5546875" style="26" bestFit="1" customWidth="1"/>
    <col min="4616" max="4616" width="10.6640625" style="26" customWidth="1"/>
    <col min="4617" max="4870" width="9.109375" style="26"/>
    <col min="4871" max="4871" width="9.5546875" style="26" bestFit="1" customWidth="1"/>
    <col min="4872" max="4872" width="10.6640625" style="26" customWidth="1"/>
    <col min="4873" max="5126" width="9.109375" style="26"/>
    <col min="5127" max="5127" width="9.5546875" style="26" bestFit="1" customWidth="1"/>
    <col min="5128" max="5128" width="10.6640625" style="26" customWidth="1"/>
    <col min="5129" max="5382" width="9.109375" style="26"/>
    <col min="5383" max="5383" width="9.5546875" style="26" bestFit="1" customWidth="1"/>
    <col min="5384" max="5384" width="10.6640625" style="26" customWidth="1"/>
    <col min="5385" max="5638" width="9.109375" style="26"/>
    <col min="5639" max="5639" width="9.5546875" style="26" bestFit="1" customWidth="1"/>
    <col min="5640" max="5640" width="10.6640625" style="26" customWidth="1"/>
    <col min="5641" max="5894" width="9.109375" style="26"/>
    <col min="5895" max="5895" width="9.5546875" style="26" bestFit="1" customWidth="1"/>
    <col min="5896" max="5896" width="10.6640625" style="26" customWidth="1"/>
    <col min="5897" max="6150" width="9.109375" style="26"/>
    <col min="6151" max="6151" width="9.5546875" style="26" bestFit="1" customWidth="1"/>
    <col min="6152" max="6152" width="10.6640625" style="26" customWidth="1"/>
    <col min="6153" max="6406" width="9.109375" style="26"/>
    <col min="6407" max="6407" width="9.5546875" style="26" bestFit="1" customWidth="1"/>
    <col min="6408" max="6408" width="10.6640625" style="26" customWidth="1"/>
    <col min="6409" max="6662" width="9.109375" style="26"/>
    <col min="6663" max="6663" width="9.5546875" style="26" bestFit="1" customWidth="1"/>
    <col min="6664" max="6664" width="10.6640625" style="26" customWidth="1"/>
    <col min="6665" max="6918" width="9.109375" style="26"/>
    <col min="6919" max="6919" width="9.5546875" style="26" bestFit="1" customWidth="1"/>
    <col min="6920" max="6920" width="10.6640625" style="26" customWidth="1"/>
    <col min="6921" max="7174" width="9.109375" style="26"/>
    <col min="7175" max="7175" width="9.5546875" style="26" bestFit="1" customWidth="1"/>
    <col min="7176" max="7176" width="10.6640625" style="26" customWidth="1"/>
    <col min="7177" max="7430" width="9.109375" style="26"/>
    <col min="7431" max="7431" width="9.5546875" style="26" bestFit="1" customWidth="1"/>
    <col min="7432" max="7432" width="10.6640625" style="26" customWidth="1"/>
    <col min="7433" max="7686" width="9.109375" style="26"/>
    <col min="7687" max="7687" width="9.5546875" style="26" bestFit="1" customWidth="1"/>
    <col min="7688" max="7688" width="10.6640625" style="26" customWidth="1"/>
    <col min="7689" max="7942" width="9.109375" style="26"/>
    <col min="7943" max="7943" width="9.5546875" style="26" bestFit="1" customWidth="1"/>
    <col min="7944" max="7944" width="10.6640625" style="26" customWidth="1"/>
    <col min="7945" max="8198" width="9.109375" style="26"/>
    <col min="8199" max="8199" width="9.5546875" style="26" bestFit="1" customWidth="1"/>
    <col min="8200" max="8200" width="10.6640625" style="26" customWidth="1"/>
    <col min="8201" max="8454" width="9.109375" style="26"/>
    <col min="8455" max="8455" width="9.5546875" style="26" bestFit="1" customWidth="1"/>
    <col min="8456" max="8456" width="10.6640625" style="26" customWidth="1"/>
    <col min="8457" max="8710" width="9.109375" style="26"/>
    <col min="8711" max="8711" width="9.5546875" style="26" bestFit="1" customWidth="1"/>
    <col min="8712" max="8712" width="10.6640625" style="26" customWidth="1"/>
    <col min="8713" max="8966" width="9.109375" style="26"/>
    <col min="8967" max="8967" width="9.5546875" style="26" bestFit="1" customWidth="1"/>
    <col min="8968" max="8968" width="10.6640625" style="26" customWidth="1"/>
    <col min="8969" max="9222" width="9.109375" style="26"/>
    <col min="9223" max="9223" width="9.5546875" style="26" bestFit="1" customWidth="1"/>
    <col min="9224" max="9224" width="10.6640625" style="26" customWidth="1"/>
    <col min="9225" max="9478" width="9.109375" style="26"/>
    <col min="9479" max="9479" width="9.5546875" style="26" bestFit="1" customWidth="1"/>
    <col min="9480" max="9480" width="10.6640625" style="26" customWidth="1"/>
    <col min="9481" max="9734" width="9.109375" style="26"/>
    <col min="9735" max="9735" width="9.5546875" style="26" bestFit="1" customWidth="1"/>
    <col min="9736" max="9736" width="10.6640625" style="26" customWidth="1"/>
    <col min="9737" max="9990" width="9.109375" style="26"/>
    <col min="9991" max="9991" width="9.5546875" style="26" bestFit="1" customWidth="1"/>
    <col min="9992" max="9992" width="10.6640625" style="26" customWidth="1"/>
    <col min="9993" max="10246" width="9.109375" style="26"/>
    <col min="10247" max="10247" width="9.5546875" style="26" bestFit="1" customWidth="1"/>
    <col min="10248" max="10248" width="10.6640625" style="26" customWidth="1"/>
    <col min="10249" max="10502" width="9.109375" style="26"/>
    <col min="10503" max="10503" width="9.5546875" style="26" bestFit="1" customWidth="1"/>
    <col min="10504" max="10504" width="10.6640625" style="26" customWidth="1"/>
    <col min="10505" max="10758" width="9.109375" style="26"/>
    <col min="10759" max="10759" width="9.5546875" style="26" bestFit="1" customWidth="1"/>
    <col min="10760" max="10760" width="10.6640625" style="26" customWidth="1"/>
    <col min="10761" max="11014" width="9.109375" style="26"/>
    <col min="11015" max="11015" width="9.5546875" style="26" bestFit="1" customWidth="1"/>
    <col min="11016" max="11016" width="10.6640625" style="26" customWidth="1"/>
    <col min="11017" max="11270" width="9.109375" style="26"/>
    <col min="11271" max="11271" width="9.5546875" style="26" bestFit="1" customWidth="1"/>
    <col min="11272" max="11272" width="10.6640625" style="26" customWidth="1"/>
    <col min="11273" max="11526" width="9.109375" style="26"/>
    <col min="11527" max="11527" width="9.5546875" style="26" bestFit="1" customWidth="1"/>
    <col min="11528" max="11528" width="10.6640625" style="26" customWidth="1"/>
    <col min="11529" max="11782" width="9.109375" style="26"/>
    <col min="11783" max="11783" width="9.5546875" style="26" bestFit="1" customWidth="1"/>
    <col min="11784" max="11784" width="10.6640625" style="26" customWidth="1"/>
    <col min="11785" max="12038" width="9.109375" style="26"/>
    <col min="12039" max="12039" width="9.5546875" style="26" bestFit="1" customWidth="1"/>
    <col min="12040" max="12040" width="10.6640625" style="26" customWidth="1"/>
    <col min="12041" max="12294" width="9.109375" style="26"/>
    <col min="12295" max="12295" width="9.5546875" style="26" bestFit="1" customWidth="1"/>
    <col min="12296" max="12296" width="10.6640625" style="26" customWidth="1"/>
    <col min="12297" max="12550" width="9.109375" style="26"/>
    <col min="12551" max="12551" width="9.5546875" style="26" bestFit="1" customWidth="1"/>
    <col min="12552" max="12552" width="10.6640625" style="26" customWidth="1"/>
    <col min="12553" max="12806" width="9.109375" style="26"/>
    <col min="12807" max="12807" width="9.5546875" style="26" bestFit="1" customWidth="1"/>
    <col min="12808" max="12808" width="10.6640625" style="26" customWidth="1"/>
    <col min="12809" max="13062" width="9.109375" style="26"/>
    <col min="13063" max="13063" width="9.5546875" style="26" bestFit="1" customWidth="1"/>
    <col min="13064" max="13064" width="10.6640625" style="26" customWidth="1"/>
    <col min="13065" max="13318" width="9.109375" style="26"/>
    <col min="13319" max="13319" width="9.5546875" style="26" bestFit="1" customWidth="1"/>
    <col min="13320" max="13320" width="10.6640625" style="26" customWidth="1"/>
    <col min="13321" max="13574" width="9.109375" style="26"/>
    <col min="13575" max="13575" width="9.5546875" style="26" bestFit="1" customWidth="1"/>
    <col min="13576" max="13576" width="10.6640625" style="26" customWidth="1"/>
    <col min="13577" max="13830" width="9.109375" style="26"/>
    <col min="13831" max="13831" width="9.5546875" style="26" bestFit="1" customWidth="1"/>
    <col min="13832" max="13832" width="10.6640625" style="26" customWidth="1"/>
    <col min="13833" max="14086" width="9.109375" style="26"/>
    <col min="14087" max="14087" width="9.5546875" style="26" bestFit="1" customWidth="1"/>
    <col min="14088" max="14088" width="10.6640625" style="26" customWidth="1"/>
    <col min="14089" max="14342" width="9.109375" style="26"/>
    <col min="14343" max="14343" width="9.5546875" style="26" bestFit="1" customWidth="1"/>
    <col min="14344" max="14344" width="10.6640625" style="26" customWidth="1"/>
    <col min="14345" max="14598" width="9.109375" style="26"/>
    <col min="14599" max="14599" width="9.5546875" style="26" bestFit="1" customWidth="1"/>
    <col min="14600" max="14600" width="10.6640625" style="26" customWidth="1"/>
    <col min="14601" max="14854" width="9.109375" style="26"/>
    <col min="14855" max="14855" width="9.5546875" style="26" bestFit="1" customWidth="1"/>
    <col min="14856" max="14856" width="10.6640625" style="26" customWidth="1"/>
    <col min="14857" max="15110" width="9.109375" style="26"/>
    <col min="15111" max="15111" width="9.5546875" style="26" bestFit="1" customWidth="1"/>
    <col min="15112" max="15112" width="10.6640625" style="26" customWidth="1"/>
    <col min="15113" max="15366" width="9.109375" style="26"/>
    <col min="15367" max="15367" width="9.5546875" style="26" bestFit="1" customWidth="1"/>
    <col min="15368" max="15368" width="10.6640625" style="26" customWidth="1"/>
    <col min="15369" max="15622" width="9.109375" style="26"/>
    <col min="15623" max="15623" width="9.5546875" style="26" bestFit="1" customWidth="1"/>
    <col min="15624" max="15624" width="10.6640625" style="26" customWidth="1"/>
    <col min="15625" max="15878" width="9.109375" style="26"/>
    <col min="15879" max="15879" width="9.5546875" style="26" bestFit="1" customWidth="1"/>
    <col min="15880" max="15880" width="10.6640625" style="26" customWidth="1"/>
    <col min="15881" max="16134" width="9.109375" style="26"/>
    <col min="16135" max="16135" width="9.5546875" style="26" bestFit="1" customWidth="1"/>
    <col min="16136" max="16136" width="10.6640625" style="26" customWidth="1"/>
    <col min="16137" max="16384" width="9.109375" style="26"/>
  </cols>
  <sheetData>
    <row r="1" spans="1:21" ht="13.8" thickBot="1" x14ac:dyDescent="0.3">
      <c r="A1" s="84" t="s">
        <v>295</v>
      </c>
      <c r="B1" s="275" t="s">
        <v>402</v>
      </c>
      <c r="C1" s="33">
        <f>Drives!BA38</f>
        <v>38490.017945975058</v>
      </c>
      <c r="D1" s="28" t="s">
        <v>7</v>
      </c>
      <c r="E1" s="300">
        <v>5</v>
      </c>
      <c r="F1" s="301">
        <f>MAX(0.1,E1+100/C1)</f>
        <v>5.0025980762113536</v>
      </c>
      <c r="G1" s="36" t="s">
        <v>1</v>
      </c>
      <c r="H1" s="81">
        <f>J17</f>
        <v>0</v>
      </c>
      <c r="I1" s="26" t="s">
        <v>94</v>
      </c>
      <c r="J1" s="34">
        <f>Drives!Z38</f>
        <v>0</v>
      </c>
      <c r="K1" s="26" t="s">
        <v>84</v>
      </c>
      <c r="N1" s="256">
        <v>0.999</v>
      </c>
      <c r="O1" s="82" t="s">
        <v>176</v>
      </c>
      <c r="P1" s="333" t="s">
        <v>566</v>
      </c>
      <c r="Q1" s="82"/>
      <c r="R1" s="82"/>
      <c r="S1" s="82"/>
      <c r="T1" s="82"/>
      <c r="U1" s="82"/>
    </row>
    <row r="2" spans="1:21" x14ac:dyDescent="0.25">
      <c r="A2" s="269" t="s">
        <v>88</v>
      </c>
      <c r="B2" s="276">
        <v>38</v>
      </c>
      <c r="D2" s="26">
        <f>C4+1</f>
        <v>7</v>
      </c>
      <c r="E2" s="41">
        <f>F1-C3</f>
        <v>2.5980762113535505E-3</v>
      </c>
      <c r="F2" s="36"/>
      <c r="G2" s="36"/>
      <c r="J2" s="29">
        <f>-0.2063*J1^2+0.0812*J1+1.1253-0.0002</f>
        <v>1.1251</v>
      </c>
      <c r="K2" s="26" t="s">
        <v>60</v>
      </c>
      <c r="N2" s="82"/>
      <c r="O2" s="82"/>
      <c r="P2" s="82"/>
      <c r="Q2" s="82"/>
      <c r="R2" s="83"/>
      <c r="S2" s="82"/>
      <c r="T2" s="82"/>
      <c r="U2" s="82"/>
    </row>
    <row r="3" spans="1:21" ht="13.8" thickBot="1" x14ac:dyDescent="0.3">
      <c r="A3" s="270" t="s">
        <v>91</v>
      </c>
      <c r="C3" s="41">
        <f>HLOOKUP($F$1,$D$62:$U$113,(B3+1))</f>
        <v>5</v>
      </c>
      <c r="D3" s="41">
        <f>HLOOKUP($D$2,$D$61:$U$113,(B3+2))</f>
        <v>6</v>
      </c>
      <c r="E3" s="26">
        <f>D3-C3</f>
        <v>1</v>
      </c>
      <c r="F3" s="26">
        <f>IF(E3=0,1,E2/E3)</f>
        <v>2.5980762113535505E-3</v>
      </c>
      <c r="G3" s="32">
        <f>C3+(E3*F3)</f>
        <v>5.0025980762113536</v>
      </c>
      <c r="J3" s="31"/>
      <c r="N3" s="82">
        <f>SQRT(1-N1^2)</f>
        <v>4.4710177812216013E-2</v>
      </c>
      <c r="O3" s="279" t="s">
        <v>565</v>
      </c>
      <c r="P3" s="279" t="s">
        <v>567</v>
      </c>
      <c r="Q3" s="82"/>
      <c r="R3" s="82"/>
      <c r="S3" s="82"/>
      <c r="T3" s="82"/>
      <c r="U3" s="82"/>
    </row>
    <row r="4" spans="1:21" ht="13.8" thickBot="1" x14ac:dyDescent="0.3">
      <c r="A4" s="31" t="s">
        <v>90</v>
      </c>
      <c r="B4" s="26">
        <v>1</v>
      </c>
      <c r="C4" s="302">
        <f t="shared" ref="C4:C53" si="0">HLOOKUP($F$1,$D$62:$U$113,(B4+1))</f>
        <v>6</v>
      </c>
      <c r="D4" s="302">
        <f t="shared" ref="D4:D53" si="1">HLOOKUP($D$2,$D$61:$U$113,(B4+2))</f>
        <v>7</v>
      </c>
      <c r="G4" s="27">
        <v>100</v>
      </c>
      <c r="H4" s="81">
        <f>J18</f>
        <v>0</v>
      </c>
      <c r="I4" s="26" t="s">
        <v>53</v>
      </c>
      <c r="J4" s="34">
        <f>Drives!X38</f>
        <v>0</v>
      </c>
      <c r="K4" s="54" t="s">
        <v>142</v>
      </c>
      <c r="N4" s="82"/>
      <c r="O4" s="82"/>
      <c r="P4" s="82"/>
      <c r="Q4" s="82"/>
      <c r="R4" s="82"/>
      <c r="S4" s="82"/>
      <c r="T4" s="82"/>
      <c r="U4" s="82"/>
    </row>
    <row r="5" spans="1:21" ht="13.8" thickBot="1" x14ac:dyDescent="0.3">
      <c r="A5" s="31"/>
      <c r="B5" s="26">
        <v>2</v>
      </c>
      <c r="C5" s="52">
        <f t="shared" si="0"/>
        <v>0.20033686709761994</v>
      </c>
      <c r="D5" s="52">
        <f t="shared" si="1"/>
        <v>0.20033686709761994</v>
      </c>
      <c r="E5" s="48">
        <f t="shared" ref="E5:E53" si="2">D5-C5</f>
        <v>0</v>
      </c>
      <c r="F5" s="48">
        <f t="shared" ref="F5:F53" si="3">E5*$F$3</f>
        <v>0</v>
      </c>
      <c r="G5" s="48">
        <f t="shared" ref="G5:G53" si="4">C5+F5</f>
        <v>0.20033686709761994</v>
      </c>
      <c r="H5" s="30">
        <f>J$2*G5*H$4/100</f>
        <v>0</v>
      </c>
      <c r="J5" s="49">
        <f>Drives!Y38</f>
        <v>0</v>
      </c>
      <c r="K5" s="54" t="s">
        <v>143</v>
      </c>
      <c r="N5" s="82"/>
      <c r="O5" s="82"/>
      <c r="P5" s="82"/>
      <c r="Q5" s="82"/>
      <c r="R5" s="82"/>
      <c r="S5" s="82"/>
      <c r="T5" s="82"/>
      <c r="U5" s="82"/>
    </row>
    <row r="6" spans="1:21" ht="13.8" thickBot="1" x14ac:dyDescent="0.3">
      <c r="A6" s="273" t="s">
        <v>573</v>
      </c>
      <c r="B6" s="26">
        <v>3</v>
      </c>
      <c r="C6" s="52">
        <f t="shared" si="0"/>
        <v>2.7531964720752457E-2</v>
      </c>
      <c r="D6" s="52">
        <f t="shared" si="1"/>
        <v>2.7531964720752457E-2</v>
      </c>
      <c r="E6" s="48">
        <f t="shared" si="2"/>
        <v>0</v>
      </c>
      <c r="F6" s="48">
        <f t="shared" si="3"/>
        <v>0</v>
      </c>
      <c r="G6" s="48">
        <f t="shared" si="4"/>
        <v>2.7531964720752457E-2</v>
      </c>
      <c r="H6" s="30">
        <f t="shared" ref="H6:H53" si="5">J$2*G6*H$4/100</f>
        <v>0</v>
      </c>
    </row>
    <row r="7" spans="1:21" ht="13.8" thickBot="1" x14ac:dyDescent="0.3">
      <c r="A7" s="270" t="s">
        <v>95</v>
      </c>
      <c r="B7" s="26">
        <v>4</v>
      </c>
      <c r="C7" s="52">
        <f t="shared" si="0"/>
        <v>0.18082566554563928</v>
      </c>
      <c r="D7" s="52">
        <f t="shared" si="1"/>
        <v>0.18082566554563928</v>
      </c>
      <c r="E7" s="48">
        <f t="shared" si="2"/>
        <v>0</v>
      </c>
      <c r="F7" s="48">
        <f t="shared" si="3"/>
        <v>0</v>
      </c>
      <c r="G7" s="48">
        <f t="shared" si="4"/>
        <v>0.18082566554563928</v>
      </c>
      <c r="H7" s="30">
        <f t="shared" si="5"/>
        <v>0</v>
      </c>
      <c r="J7" s="34">
        <f>Instructions!E201</f>
        <v>-40</v>
      </c>
      <c r="K7" s="54" t="s">
        <v>144</v>
      </c>
    </row>
    <row r="8" spans="1:21" x14ac:dyDescent="0.25">
      <c r="A8" s="54"/>
      <c r="B8" s="26">
        <v>5</v>
      </c>
      <c r="C8" s="52">
        <f t="shared" si="0"/>
        <v>3.2003454083827538</v>
      </c>
      <c r="D8" s="52">
        <f t="shared" si="1"/>
        <v>3.2003454083827538</v>
      </c>
      <c r="E8" s="48">
        <f t="shared" si="2"/>
        <v>0</v>
      </c>
      <c r="F8" s="48">
        <f t="shared" si="3"/>
        <v>0</v>
      </c>
      <c r="G8" s="48">
        <f t="shared" si="4"/>
        <v>3.2003454083827538</v>
      </c>
      <c r="H8" s="30">
        <f t="shared" si="5"/>
        <v>0</v>
      </c>
      <c r="J8" s="29">
        <f>J7*J4/100</f>
        <v>0</v>
      </c>
      <c r="K8" s="54" t="s">
        <v>409</v>
      </c>
    </row>
    <row r="9" spans="1:21" x14ac:dyDescent="0.25">
      <c r="A9" s="54"/>
      <c r="B9" s="26">
        <v>6</v>
      </c>
      <c r="C9" s="52">
        <f t="shared" si="0"/>
        <v>1.2366110803554393E-2</v>
      </c>
      <c r="D9" s="52">
        <f t="shared" si="1"/>
        <v>1.2366110803554393E-2</v>
      </c>
      <c r="E9" s="48">
        <f t="shared" si="2"/>
        <v>0</v>
      </c>
      <c r="F9" s="48">
        <f t="shared" si="3"/>
        <v>0</v>
      </c>
      <c r="G9" s="48">
        <f t="shared" si="4"/>
        <v>1.2366110803554393E-2</v>
      </c>
      <c r="H9" s="30">
        <f t="shared" si="5"/>
        <v>0</v>
      </c>
      <c r="J9" s="29"/>
    </row>
    <row r="10" spans="1:21" x14ac:dyDescent="0.25">
      <c r="B10" s="26">
        <v>7</v>
      </c>
      <c r="C10" s="52">
        <f t="shared" si="0"/>
        <v>2.2875599769738715</v>
      </c>
      <c r="D10" s="52">
        <f t="shared" si="1"/>
        <v>2.2875599769738715</v>
      </c>
      <c r="E10" s="48">
        <f t="shared" si="2"/>
        <v>0</v>
      </c>
      <c r="F10" s="48">
        <f t="shared" si="3"/>
        <v>0</v>
      </c>
      <c r="G10" s="48">
        <f t="shared" si="4"/>
        <v>2.2875599769738715</v>
      </c>
      <c r="H10" s="30">
        <f t="shared" si="5"/>
        <v>0</v>
      </c>
      <c r="J10" s="29">
        <f>J8</f>
        <v>0</v>
      </c>
      <c r="K10" s="54" t="s">
        <v>145</v>
      </c>
    </row>
    <row r="11" spans="1:21" ht="13.8" thickBot="1" x14ac:dyDescent="0.3">
      <c r="B11" s="26">
        <v>8</v>
      </c>
      <c r="C11" s="52">
        <f t="shared" si="0"/>
        <v>1.1961477080790374E-2</v>
      </c>
      <c r="D11" s="52">
        <f t="shared" si="1"/>
        <v>1.1961477080790374E-2</v>
      </c>
      <c r="E11" s="48">
        <f t="shared" si="2"/>
        <v>0</v>
      </c>
      <c r="F11" s="48">
        <f t="shared" si="3"/>
        <v>0</v>
      </c>
      <c r="G11" s="48">
        <f t="shared" si="4"/>
        <v>1.1961477080790374E-2</v>
      </c>
      <c r="H11" s="30">
        <f t="shared" si="5"/>
        <v>0</v>
      </c>
      <c r="J11" s="26">
        <f>N3*J10</f>
        <v>0</v>
      </c>
      <c r="K11" s="54" t="s">
        <v>146</v>
      </c>
    </row>
    <row r="12" spans="1:21" ht="13.8" thickBot="1" x14ac:dyDescent="0.3">
      <c r="B12" s="26">
        <v>9</v>
      </c>
      <c r="C12" s="52">
        <f t="shared" si="0"/>
        <v>5.8489653371463215E-3</v>
      </c>
      <c r="D12" s="52">
        <f t="shared" si="1"/>
        <v>5.8489653371463215E-3</v>
      </c>
      <c r="E12" s="48">
        <f t="shared" si="2"/>
        <v>0</v>
      </c>
      <c r="F12" s="48">
        <f t="shared" si="3"/>
        <v>0</v>
      </c>
      <c r="G12" s="48">
        <f t="shared" si="4"/>
        <v>5.8489653371463215E-3</v>
      </c>
      <c r="H12" s="30">
        <f t="shared" si="5"/>
        <v>0</v>
      </c>
      <c r="J12" s="256">
        <f>J10-J1*(J10-J11)</f>
        <v>0</v>
      </c>
      <c r="K12" s="54" t="s">
        <v>147</v>
      </c>
    </row>
    <row r="13" spans="1:21" ht="13.8" thickBot="1" x14ac:dyDescent="0.3">
      <c r="B13" s="26">
        <v>10</v>
      </c>
      <c r="C13" s="52">
        <f t="shared" si="0"/>
        <v>3.2931623370063305E-3</v>
      </c>
      <c r="D13" s="52">
        <f t="shared" si="1"/>
        <v>3.2931623370063305E-3</v>
      </c>
      <c r="E13" s="48">
        <f t="shared" si="2"/>
        <v>0</v>
      </c>
      <c r="F13" s="48">
        <f t="shared" si="3"/>
        <v>0</v>
      </c>
      <c r="G13" s="48">
        <f t="shared" si="4"/>
        <v>3.2931623370063305E-3</v>
      </c>
      <c r="H13" s="30">
        <f t="shared" si="5"/>
        <v>0</v>
      </c>
      <c r="J13" s="29"/>
    </row>
    <row r="14" spans="1:21" ht="13.8" thickBot="1" x14ac:dyDescent="0.3">
      <c r="B14" s="26">
        <v>11</v>
      </c>
      <c r="C14" s="52">
        <f t="shared" si="0"/>
        <v>2.1257751263238753</v>
      </c>
      <c r="D14" s="52">
        <f t="shared" si="1"/>
        <v>2.1257751263238753</v>
      </c>
      <c r="E14" s="48">
        <f t="shared" si="2"/>
        <v>0</v>
      </c>
      <c r="F14" s="48">
        <f t="shared" si="3"/>
        <v>0</v>
      </c>
      <c r="G14" s="48">
        <f t="shared" si="4"/>
        <v>2.1257751263238753</v>
      </c>
      <c r="H14" s="30">
        <f t="shared" si="5"/>
        <v>0</v>
      </c>
      <c r="J14" s="34">
        <f>Drives!AN38</f>
        <v>0</v>
      </c>
      <c r="K14" s="54" t="s">
        <v>150</v>
      </c>
    </row>
    <row r="15" spans="1:21" x14ac:dyDescent="0.25">
      <c r="B15" s="26">
        <v>12</v>
      </c>
      <c r="C15" s="52">
        <f t="shared" si="0"/>
        <v>2.0590858203411713E-3</v>
      </c>
      <c r="D15" s="52">
        <f t="shared" si="1"/>
        <v>2.0590858203411713E-3</v>
      </c>
      <c r="E15" s="48">
        <f t="shared" si="2"/>
        <v>0</v>
      </c>
      <c r="F15" s="48">
        <f t="shared" si="3"/>
        <v>0</v>
      </c>
      <c r="G15" s="48">
        <f t="shared" si="4"/>
        <v>2.0590858203411713E-3</v>
      </c>
      <c r="H15" s="30">
        <f t="shared" si="5"/>
        <v>0</v>
      </c>
      <c r="J15" s="29">
        <f>J1*J14</f>
        <v>0</v>
      </c>
      <c r="K15" s="54" t="s">
        <v>151</v>
      </c>
    </row>
    <row r="16" spans="1:21" x14ac:dyDescent="0.25">
      <c r="B16" s="26">
        <v>13</v>
      </c>
      <c r="C16" s="52">
        <f t="shared" si="0"/>
        <v>1.3699592359171386</v>
      </c>
      <c r="D16" s="52">
        <f t="shared" si="1"/>
        <v>1.3699592359171386</v>
      </c>
      <c r="E16" s="48">
        <f t="shared" si="2"/>
        <v>0</v>
      </c>
      <c r="F16" s="48">
        <f t="shared" si="3"/>
        <v>0</v>
      </c>
      <c r="G16" s="48">
        <f t="shared" si="4"/>
        <v>1.3699592359171386</v>
      </c>
      <c r="H16" s="30">
        <f t="shared" si="5"/>
        <v>0</v>
      </c>
    </row>
    <row r="17" spans="2:14" x14ac:dyDescent="0.25">
      <c r="B17" s="26">
        <v>14</v>
      </c>
      <c r="C17" s="52">
        <f t="shared" si="0"/>
        <v>7.302176673792982E-3</v>
      </c>
      <c r="D17" s="52">
        <f t="shared" si="1"/>
        <v>7.302176673792982E-3</v>
      </c>
      <c r="E17" s="48">
        <f t="shared" si="2"/>
        <v>0</v>
      </c>
      <c r="F17" s="48">
        <f t="shared" si="3"/>
        <v>0</v>
      </c>
      <c r="G17" s="48">
        <f t="shared" si="4"/>
        <v>7.302176673792982E-3</v>
      </c>
      <c r="H17" s="30">
        <f t="shared" si="5"/>
        <v>0</v>
      </c>
      <c r="J17" s="277">
        <f>SQRT(SUMSQ(J11,J14))</f>
        <v>0</v>
      </c>
      <c r="K17" s="54" t="s">
        <v>149</v>
      </c>
    </row>
    <row r="18" spans="2:14" x14ac:dyDescent="0.25">
      <c r="B18" s="26">
        <v>15</v>
      </c>
      <c r="C18" s="52">
        <f t="shared" si="0"/>
        <v>1.3606781607175098E-3</v>
      </c>
      <c r="D18" s="52">
        <f t="shared" si="1"/>
        <v>1.3606781607175098E-3</v>
      </c>
      <c r="E18" s="48">
        <f t="shared" si="2"/>
        <v>0</v>
      </c>
      <c r="F18" s="48">
        <f t="shared" si="3"/>
        <v>0</v>
      </c>
      <c r="G18" s="48">
        <f t="shared" si="4"/>
        <v>1.3606781607175098E-3</v>
      </c>
      <c r="H18" s="30">
        <f t="shared" si="5"/>
        <v>0</v>
      </c>
      <c r="J18" s="277">
        <f>SQRT(SUMSQ(J12,J15))</f>
        <v>0</v>
      </c>
      <c r="K18" s="54" t="s">
        <v>148</v>
      </c>
    </row>
    <row r="19" spans="2:14" x14ac:dyDescent="0.25">
      <c r="B19" s="26">
        <v>16</v>
      </c>
      <c r="C19" s="52">
        <f t="shared" si="0"/>
        <v>6.1109864607171924E-3</v>
      </c>
      <c r="D19" s="52">
        <f t="shared" si="1"/>
        <v>6.1109864607171924E-3</v>
      </c>
      <c r="E19" s="48">
        <f t="shared" si="2"/>
        <v>0</v>
      </c>
      <c r="F19" s="48">
        <f t="shared" si="3"/>
        <v>0</v>
      </c>
      <c r="G19" s="48">
        <f t="shared" si="4"/>
        <v>6.1109864607171924E-3</v>
      </c>
      <c r="H19" s="30">
        <f t="shared" si="5"/>
        <v>0</v>
      </c>
      <c r="N19" s="31"/>
    </row>
    <row r="20" spans="2:14" x14ac:dyDescent="0.25">
      <c r="B20" s="26">
        <v>17</v>
      </c>
      <c r="C20" s="52">
        <f t="shared" si="0"/>
        <v>0.68289719381734926</v>
      </c>
      <c r="D20" s="52">
        <f t="shared" si="1"/>
        <v>0.68289719381734926</v>
      </c>
      <c r="E20" s="48">
        <f t="shared" si="2"/>
        <v>0</v>
      </c>
      <c r="F20" s="48">
        <f t="shared" si="3"/>
        <v>0</v>
      </c>
      <c r="G20" s="48">
        <f t="shared" si="4"/>
        <v>0.68289719381734926</v>
      </c>
      <c r="H20" s="30">
        <f t="shared" si="5"/>
        <v>0</v>
      </c>
      <c r="J20" s="29">
        <f>H55</f>
        <v>0</v>
      </c>
      <c r="K20" s="54" t="s">
        <v>152</v>
      </c>
    </row>
    <row r="21" spans="2:14" x14ac:dyDescent="0.25">
      <c r="B21" s="26">
        <v>18</v>
      </c>
      <c r="C21" s="52">
        <f t="shared" si="0"/>
        <v>1.8234332460561734E-3</v>
      </c>
      <c r="D21" s="52">
        <f t="shared" si="1"/>
        <v>1.8234332460561734E-3</v>
      </c>
      <c r="E21" s="48">
        <f t="shared" si="2"/>
        <v>0</v>
      </c>
      <c r="F21" s="48">
        <f t="shared" si="3"/>
        <v>0</v>
      </c>
      <c r="G21" s="48">
        <f t="shared" si="4"/>
        <v>1.8234332460561734E-3</v>
      </c>
      <c r="H21" s="30">
        <f t="shared" si="5"/>
        <v>0</v>
      </c>
      <c r="J21" s="29"/>
    </row>
    <row r="22" spans="2:14" x14ac:dyDescent="0.25">
      <c r="B22" s="26">
        <v>19</v>
      </c>
      <c r="C22" s="52">
        <f t="shared" si="0"/>
        <v>0.64168647755318864</v>
      </c>
      <c r="D22" s="52">
        <f t="shared" si="1"/>
        <v>0.64168647755318864</v>
      </c>
      <c r="E22" s="48">
        <f t="shared" si="2"/>
        <v>0</v>
      </c>
      <c r="F22" s="48">
        <f t="shared" si="3"/>
        <v>0</v>
      </c>
      <c r="G22" s="48">
        <f t="shared" si="4"/>
        <v>0.64168647755318864</v>
      </c>
      <c r="H22" s="30">
        <f t="shared" si="5"/>
        <v>0</v>
      </c>
      <c r="J22" s="29">
        <f>H56</f>
        <v>0</v>
      </c>
      <c r="K22" s="54" t="s">
        <v>153</v>
      </c>
    </row>
    <row r="23" spans="2:14" x14ac:dyDescent="0.25">
      <c r="B23" s="26">
        <v>20</v>
      </c>
      <c r="C23" s="52">
        <f t="shared" si="0"/>
        <v>2.4051015216012576E-3</v>
      </c>
      <c r="D23" s="52">
        <f t="shared" si="1"/>
        <v>2.4051015216012576E-3</v>
      </c>
      <c r="E23" s="48">
        <f t="shared" si="2"/>
        <v>0</v>
      </c>
      <c r="F23" s="48">
        <f t="shared" si="3"/>
        <v>0</v>
      </c>
      <c r="G23" s="48">
        <f t="shared" si="4"/>
        <v>2.4051015216012576E-3</v>
      </c>
      <c r="H23" s="30">
        <f t="shared" si="5"/>
        <v>0</v>
      </c>
    </row>
    <row r="24" spans="2:14" x14ac:dyDescent="0.25">
      <c r="B24" s="26">
        <v>21</v>
      </c>
      <c r="C24" s="52">
        <f t="shared" si="0"/>
        <v>1.0813546337326231E-3</v>
      </c>
      <c r="D24" s="52">
        <f t="shared" si="1"/>
        <v>1.0813546337326231E-3</v>
      </c>
      <c r="E24" s="48">
        <f t="shared" si="2"/>
        <v>0</v>
      </c>
      <c r="F24" s="48">
        <f t="shared" si="3"/>
        <v>0</v>
      </c>
      <c r="G24" s="48">
        <f t="shared" si="4"/>
        <v>1.0813546337326231E-3</v>
      </c>
      <c r="H24" s="30">
        <f t="shared" si="5"/>
        <v>0</v>
      </c>
      <c r="J24" s="32">
        <f>IF(J18=0,0,100*J20/J18)</f>
        <v>0</v>
      </c>
      <c r="K24" s="54" t="s">
        <v>154</v>
      </c>
    </row>
    <row r="25" spans="2:14" x14ac:dyDescent="0.25">
      <c r="B25" s="26">
        <v>22</v>
      </c>
      <c r="C25" s="52">
        <f t="shared" si="0"/>
        <v>3.6564338251613847E-3</v>
      </c>
      <c r="D25" s="52">
        <f t="shared" si="1"/>
        <v>3.6564338251613847E-3</v>
      </c>
      <c r="E25" s="48">
        <f t="shared" si="2"/>
        <v>0</v>
      </c>
      <c r="F25" s="48">
        <f t="shared" si="3"/>
        <v>0</v>
      </c>
      <c r="G25" s="48">
        <f t="shared" si="4"/>
        <v>3.6564338251613847E-3</v>
      </c>
      <c r="H25" s="30">
        <f t="shared" si="5"/>
        <v>0</v>
      </c>
    </row>
    <row r="26" spans="2:14" x14ac:dyDescent="0.25">
      <c r="B26" s="26">
        <v>23</v>
      </c>
      <c r="C26" s="52">
        <f t="shared" si="0"/>
        <v>0.38309611199789012</v>
      </c>
      <c r="D26" s="52">
        <f t="shared" si="1"/>
        <v>0.38309611199789012</v>
      </c>
      <c r="E26" s="48">
        <f t="shared" si="2"/>
        <v>0</v>
      </c>
      <c r="F26" s="48">
        <f t="shared" si="3"/>
        <v>0</v>
      </c>
      <c r="G26" s="48">
        <f t="shared" si="4"/>
        <v>0.38309611199789012</v>
      </c>
      <c r="H26" s="30">
        <f t="shared" si="5"/>
        <v>0</v>
      </c>
    </row>
    <row r="27" spans="2:14" x14ac:dyDescent="0.25">
      <c r="B27" s="26">
        <v>24</v>
      </c>
      <c r="C27" s="52">
        <f t="shared" si="0"/>
        <v>5.1576679443848686E-4</v>
      </c>
      <c r="D27" s="52">
        <f t="shared" si="1"/>
        <v>5.1576679443848686E-4</v>
      </c>
      <c r="E27" s="48">
        <f t="shared" si="2"/>
        <v>0</v>
      </c>
      <c r="F27" s="48">
        <f t="shared" si="3"/>
        <v>0</v>
      </c>
      <c r="G27" s="48">
        <f t="shared" si="4"/>
        <v>5.1576679443848686E-4</v>
      </c>
      <c r="H27" s="30">
        <f t="shared" si="5"/>
        <v>0</v>
      </c>
    </row>
    <row r="28" spans="2:14" x14ac:dyDescent="0.25">
      <c r="B28" s="26">
        <v>25</v>
      </c>
      <c r="C28" s="52">
        <f t="shared" si="0"/>
        <v>0.30758054936548701</v>
      </c>
      <c r="D28" s="52">
        <f t="shared" si="1"/>
        <v>0.30758054936548701</v>
      </c>
      <c r="E28" s="48">
        <f t="shared" si="2"/>
        <v>0</v>
      </c>
      <c r="F28" s="48">
        <f t="shared" si="3"/>
        <v>0</v>
      </c>
      <c r="G28" s="48">
        <f t="shared" si="4"/>
        <v>0.30758054936548701</v>
      </c>
      <c r="H28" s="30">
        <f t="shared" si="5"/>
        <v>0</v>
      </c>
    </row>
    <row r="29" spans="2:14" x14ac:dyDescent="0.25">
      <c r="B29" s="26">
        <v>26</v>
      </c>
      <c r="C29" s="52">
        <f t="shared" si="0"/>
        <v>2.6425848475545442E-3</v>
      </c>
      <c r="D29" s="52">
        <f t="shared" si="1"/>
        <v>2.6425848475545442E-3</v>
      </c>
      <c r="E29" s="48">
        <f t="shared" si="2"/>
        <v>0</v>
      </c>
      <c r="F29" s="48">
        <f t="shared" si="3"/>
        <v>0</v>
      </c>
      <c r="G29" s="48">
        <f t="shared" si="4"/>
        <v>2.6425848475545442E-3</v>
      </c>
      <c r="H29" s="30">
        <f t="shared" si="5"/>
        <v>0</v>
      </c>
    </row>
    <row r="30" spans="2:14" x14ac:dyDescent="0.25">
      <c r="B30" s="26">
        <v>27</v>
      </c>
      <c r="C30" s="52">
        <f t="shared" si="0"/>
        <v>1.0147084130348648E-3</v>
      </c>
      <c r="D30" s="52">
        <f t="shared" si="1"/>
        <v>1.0147084130348648E-3</v>
      </c>
      <c r="E30" s="48">
        <f t="shared" si="2"/>
        <v>0</v>
      </c>
      <c r="F30" s="48">
        <f t="shared" si="3"/>
        <v>0</v>
      </c>
      <c r="G30" s="48">
        <f t="shared" si="4"/>
        <v>1.0147084130348648E-3</v>
      </c>
      <c r="H30" s="30">
        <f t="shared" si="5"/>
        <v>0</v>
      </c>
    </row>
    <row r="31" spans="2:14" x14ac:dyDescent="0.25">
      <c r="B31" s="26">
        <v>28</v>
      </c>
      <c r="C31" s="52">
        <f t="shared" si="0"/>
        <v>1.6177333578561359E-3</v>
      </c>
      <c r="D31" s="52">
        <f t="shared" si="1"/>
        <v>1.6177333578561359E-3</v>
      </c>
      <c r="E31" s="48">
        <f t="shared" si="2"/>
        <v>0</v>
      </c>
      <c r="F31" s="48">
        <f t="shared" si="3"/>
        <v>0</v>
      </c>
      <c r="G31" s="48">
        <f t="shared" si="4"/>
        <v>1.6177333578561359E-3</v>
      </c>
      <c r="H31" s="30">
        <f t="shared" si="5"/>
        <v>0</v>
      </c>
    </row>
    <row r="32" spans="2:14" x14ac:dyDescent="0.25">
      <c r="B32" s="26">
        <v>29</v>
      </c>
      <c r="C32" s="52">
        <f t="shared" si="0"/>
        <v>0.27743194677703786</v>
      </c>
      <c r="D32" s="52">
        <f t="shared" si="1"/>
        <v>0.27743194677703786</v>
      </c>
      <c r="E32" s="48">
        <f t="shared" si="2"/>
        <v>0</v>
      </c>
      <c r="F32" s="48">
        <f t="shared" si="3"/>
        <v>0</v>
      </c>
      <c r="G32" s="48">
        <f t="shared" si="4"/>
        <v>0.27743194677703786</v>
      </c>
      <c r="H32" s="30">
        <f t="shared" si="5"/>
        <v>0</v>
      </c>
    </row>
    <row r="33" spans="2:8" x14ac:dyDescent="0.25">
      <c r="B33" s="26">
        <v>30</v>
      </c>
      <c r="C33" s="52">
        <f t="shared" si="0"/>
        <v>8.0198290803030971E-4</v>
      </c>
      <c r="D33" s="52">
        <f t="shared" si="1"/>
        <v>8.0198290803030971E-4</v>
      </c>
      <c r="E33" s="48">
        <f t="shared" si="2"/>
        <v>0</v>
      </c>
      <c r="F33" s="48">
        <f t="shared" si="3"/>
        <v>0</v>
      </c>
      <c r="G33" s="48">
        <f t="shared" si="4"/>
        <v>8.0198290803030971E-4</v>
      </c>
      <c r="H33" s="30">
        <f t="shared" si="5"/>
        <v>0</v>
      </c>
    </row>
    <row r="34" spans="2:8" x14ac:dyDescent="0.25">
      <c r="B34" s="26">
        <v>31</v>
      </c>
      <c r="C34" s="52">
        <f t="shared" si="0"/>
        <v>0.22825369583389868</v>
      </c>
      <c r="D34" s="52">
        <f t="shared" si="1"/>
        <v>0.22825369583389868</v>
      </c>
      <c r="E34" s="48">
        <f t="shared" si="2"/>
        <v>0</v>
      </c>
      <c r="F34" s="48">
        <f t="shared" si="3"/>
        <v>0</v>
      </c>
      <c r="G34" s="48">
        <f t="shared" si="4"/>
        <v>0.22825369583389868</v>
      </c>
      <c r="H34" s="30">
        <f t="shared" si="5"/>
        <v>0</v>
      </c>
    </row>
    <row r="35" spans="2:8" x14ac:dyDescent="0.25">
      <c r="B35" s="26">
        <v>32</v>
      </c>
      <c r="C35" s="52">
        <f t="shared" si="0"/>
        <v>2.7024021170569765E-3</v>
      </c>
      <c r="D35" s="52">
        <f t="shared" si="1"/>
        <v>2.7024021170569765E-3</v>
      </c>
      <c r="E35" s="48">
        <f t="shared" si="2"/>
        <v>0</v>
      </c>
      <c r="F35" s="48">
        <f t="shared" si="3"/>
        <v>0</v>
      </c>
      <c r="G35" s="48">
        <f t="shared" si="4"/>
        <v>2.7024021170569765E-3</v>
      </c>
      <c r="H35" s="30">
        <f t="shared" si="5"/>
        <v>0</v>
      </c>
    </row>
    <row r="36" spans="2:8" x14ac:dyDescent="0.25">
      <c r="B36" s="26">
        <v>33</v>
      </c>
      <c r="C36" s="52">
        <f t="shared" si="0"/>
        <v>2.381632533647384E-4</v>
      </c>
      <c r="D36" s="52">
        <f t="shared" si="1"/>
        <v>2.381632533647384E-4</v>
      </c>
      <c r="E36" s="48">
        <f t="shared" si="2"/>
        <v>0</v>
      </c>
      <c r="F36" s="48">
        <f t="shared" si="3"/>
        <v>0</v>
      </c>
      <c r="G36" s="48">
        <f t="shared" si="4"/>
        <v>2.381632533647384E-4</v>
      </c>
      <c r="H36" s="30">
        <f t="shared" si="5"/>
        <v>0</v>
      </c>
    </row>
    <row r="37" spans="2:8" x14ac:dyDescent="0.25">
      <c r="B37" s="26">
        <v>34</v>
      </c>
      <c r="C37" s="52">
        <f t="shared" si="0"/>
        <v>2.6710242731562829E-3</v>
      </c>
      <c r="D37" s="52">
        <f t="shared" si="1"/>
        <v>2.6710242731562829E-3</v>
      </c>
      <c r="E37" s="48">
        <f t="shared" si="2"/>
        <v>0</v>
      </c>
      <c r="F37" s="48">
        <f t="shared" si="3"/>
        <v>0</v>
      </c>
      <c r="G37" s="48">
        <f t="shared" si="4"/>
        <v>2.6710242731562829E-3</v>
      </c>
      <c r="H37" s="30">
        <f t="shared" si="5"/>
        <v>0</v>
      </c>
    </row>
    <row r="38" spans="2:8" x14ac:dyDescent="0.25">
      <c r="B38" s="26">
        <v>35</v>
      </c>
      <c r="C38" s="52">
        <f t="shared" si="0"/>
        <v>0.17116141541912225</v>
      </c>
      <c r="D38" s="52">
        <f t="shared" si="1"/>
        <v>0.17116141541912225</v>
      </c>
      <c r="E38" s="48">
        <f t="shared" si="2"/>
        <v>0</v>
      </c>
      <c r="F38" s="48">
        <f t="shared" si="3"/>
        <v>0</v>
      </c>
      <c r="G38" s="48">
        <f t="shared" si="4"/>
        <v>0.17116141541912225</v>
      </c>
      <c r="H38" s="30">
        <f t="shared" si="5"/>
        <v>0</v>
      </c>
    </row>
    <row r="39" spans="2:8" x14ac:dyDescent="0.25">
      <c r="B39" s="26">
        <v>36</v>
      </c>
      <c r="C39" s="52">
        <f t="shared" si="0"/>
        <v>6.1075146914959676E-4</v>
      </c>
      <c r="D39" s="52">
        <f t="shared" si="1"/>
        <v>6.1075146914959676E-4</v>
      </c>
      <c r="E39" s="48">
        <f t="shared" si="2"/>
        <v>0</v>
      </c>
      <c r="F39" s="48">
        <f t="shared" si="3"/>
        <v>0</v>
      </c>
      <c r="G39" s="48">
        <f t="shared" si="4"/>
        <v>6.1075146914959676E-4</v>
      </c>
      <c r="H39" s="30">
        <f t="shared" si="5"/>
        <v>0</v>
      </c>
    </row>
    <row r="40" spans="2:8" x14ac:dyDescent="0.25">
      <c r="B40" s="26">
        <v>37</v>
      </c>
      <c r="C40" s="52">
        <f t="shared" si="0"/>
        <v>0.16480407262564611</v>
      </c>
      <c r="D40" s="52">
        <f t="shared" si="1"/>
        <v>0.16480407262564611</v>
      </c>
      <c r="E40" s="48">
        <f t="shared" si="2"/>
        <v>0</v>
      </c>
      <c r="F40" s="48">
        <f t="shared" si="3"/>
        <v>0</v>
      </c>
      <c r="G40" s="48">
        <f t="shared" si="4"/>
        <v>0.16480407262564611</v>
      </c>
      <c r="H40" s="30">
        <f t="shared" si="5"/>
        <v>0</v>
      </c>
    </row>
    <row r="41" spans="2:8" x14ac:dyDescent="0.25">
      <c r="B41" s="26">
        <v>38</v>
      </c>
      <c r="C41" s="52">
        <f t="shared" si="0"/>
        <v>1.1328435066673029E-3</v>
      </c>
      <c r="D41" s="52">
        <f t="shared" si="1"/>
        <v>1.1328435066673029E-3</v>
      </c>
      <c r="E41" s="48">
        <f t="shared" si="2"/>
        <v>0</v>
      </c>
      <c r="F41" s="48">
        <f t="shared" si="3"/>
        <v>0</v>
      </c>
      <c r="G41" s="48">
        <f t="shared" si="4"/>
        <v>1.1328435066673029E-3</v>
      </c>
      <c r="H41" s="30">
        <f t="shared" si="5"/>
        <v>0</v>
      </c>
    </row>
    <row r="42" spans="2:8" x14ac:dyDescent="0.25">
      <c r="B42" s="26">
        <v>39</v>
      </c>
      <c r="C42" s="52">
        <f t="shared" si="0"/>
        <v>6.4298975068577445E-4</v>
      </c>
      <c r="D42" s="52">
        <f t="shared" si="1"/>
        <v>6.4298975068577445E-4</v>
      </c>
      <c r="E42" s="48">
        <f t="shared" si="2"/>
        <v>0</v>
      </c>
      <c r="F42" s="48">
        <f t="shared" si="3"/>
        <v>0</v>
      </c>
      <c r="G42" s="48">
        <f t="shared" si="4"/>
        <v>6.4298975068577445E-4</v>
      </c>
      <c r="H42" s="30">
        <f t="shared" si="5"/>
        <v>0</v>
      </c>
    </row>
    <row r="43" spans="2:8" x14ac:dyDescent="0.25">
      <c r="B43" s="26">
        <v>40</v>
      </c>
      <c r="C43" s="52">
        <f t="shared" si="0"/>
        <v>1.5301192674068069E-3</v>
      </c>
      <c r="D43" s="52">
        <f t="shared" si="1"/>
        <v>1.5301192674068069E-3</v>
      </c>
      <c r="E43" s="48">
        <f t="shared" si="2"/>
        <v>0</v>
      </c>
      <c r="F43" s="48">
        <f t="shared" si="3"/>
        <v>0</v>
      </c>
      <c r="G43" s="48">
        <f t="shared" si="4"/>
        <v>1.5301192674068069E-3</v>
      </c>
      <c r="H43" s="30">
        <f t="shared" si="5"/>
        <v>0</v>
      </c>
    </row>
    <row r="44" spans="2:8" x14ac:dyDescent="0.25">
      <c r="B44" s="26">
        <v>41</v>
      </c>
      <c r="C44" s="52">
        <f t="shared" si="0"/>
        <v>0.12283011946712022</v>
      </c>
      <c r="D44" s="52">
        <f t="shared" si="1"/>
        <v>0.12283011946712022</v>
      </c>
      <c r="E44" s="48">
        <f t="shared" si="2"/>
        <v>0</v>
      </c>
      <c r="F44" s="48">
        <f t="shared" si="3"/>
        <v>0</v>
      </c>
      <c r="G44" s="48">
        <f t="shared" si="4"/>
        <v>0.12283011946712022</v>
      </c>
      <c r="H44" s="30">
        <f t="shared" si="5"/>
        <v>0</v>
      </c>
    </row>
    <row r="45" spans="2:8" x14ac:dyDescent="0.25">
      <c r="B45" s="26">
        <v>42</v>
      </c>
      <c r="C45" s="52">
        <f t="shared" si="0"/>
        <v>2.3322769575310185E-4</v>
      </c>
      <c r="D45" s="52">
        <f t="shared" si="1"/>
        <v>2.3322769575310185E-4</v>
      </c>
      <c r="E45" s="48">
        <f t="shared" si="2"/>
        <v>0</v>
      </c>
      <c r="F45" s="48">
        <f t="shared" si="3"/>
        <v>0</v>
      </c>
      <c r="G45" s="48">
        <f t="shared" si="4"/>
        <v>2.3322769575310185E-4</v>
      </c>
      <c r="H45" s="30">
        <f t="shared" si="5"/>
        <v>0</v>
      </c>
    </row>
    <row r="46" spans="2:8" x14ac:dyDescent="0.25">
      <c r="B46" s="26">
        <v>43</v>
      </c>
      <c r="C46" s="52">
        <f t="shared" si="0"/>
        <v>0.10926131889927025</v>
      </c>
      <c r="D46" s="52">
        <f t="shared" si="1"/>
        <v>0.10926131889927025</v>
      </c>
      <c r="E46" s="48">
        <f t="shared" si="2"/>
        <v>0</v>
      </c>
      <c r="F46" s="48">
        <f t="shared" si="3"/>
        <v>0</v>
      </c>
      <c r="G46" s="48">
        <f t="shared" si="4"/>
        <v>0.10926131889927025</v>
      </c>
      <c r="H46" s="30">
        <f t="shared" si="5"/>
        <v>0</v>
      </c>
    </row>
    <row r="47" spans="2:8" x14ac:dyDescent="0.25">
      <c r="B47" s="26">
        <v>44</v>
      </c>
      <c r="C47" s="52">
        <f t="shared" si="0"/>
        <v>1.7967060979898527E-3</v>
      </c>
      <c r="D47" s="52">
        <f t="shared" si="1"/>
        <v>1.7967060979898527E-3</v>
      </c>
      <c r="E47" s="48">
        <f t="shared" si="2"/>
        <v>0</v>
      </c>
      <c r="F47" s="48">
        <f t="shared" si="3"/>
        <v>0</v>
      </c>
      <c r="G47" s="48">
        <f t="shared" si="4"/>
        <v>1.7967060979898527E-3</v>
      </c>
      <c r="H47" s="30">
        <f t="shared" si="5"/>
        <v>0</v>
      </c>
    </row>
    <row r="48" spans="2:8" x14ac:dyDescent="0.25">
      <c r="B48" s="26">
        <v>45</v>
      </c>
      <c r="C48" s="52">
        <f t="shared" si="0"/>
        <v>3.4212349123829218E-4</v>
      </c>
      <c r="D48" s="52">
        <f t="shared" si="1"/>
        <v>3.4212349123829218E-4</v>
      </c>
      <c r="E48" s="48">
        <f t="shared" si="2"/>
        <v>0</v>
      </c>
      <c r="F48" s="48">
        <f t="shared" si="3"/>
        <v>0</v>
      </c>
      <c r="G48" s="48">
        <f t="shared" si="4"/>
        <v>3.4212349123829218E-4</v>
      </c>
      <c r="H48" s="30">
        <f t="shared" si="5"/>
        <v>0</v>
      </c>
    </row>
    <row r="49" spans="1:21" x14ac:dyDescent="0.25">
      <c r="B49" s="26">
        <v>46</v>
      </c>
      <c r="C49" s="52">
        <f t="shared" si="0"/>
        <v>1.3725028438080829E-3</v>
      </c>
      <c r="D49" s="52">
        <f t="shared" si="1"/>
        <v>1.3725028438080829E-3</v>
      </c>
      <c r="E49" s="48">
        <f t="shared" si="2"/>
        <v>0</v>
      </c>
      <c r="F49" s="48">
        <f t="shared" si="3"/>
        <v>0</v>
      </c>
      <c r="G49" s="48">
        <f t="shared" si="4"/>
        <v>1.3725028438080829E-3</v>
      </c>
      <c r="H49" s="30">
        <f t="shared" si="5"/>
        <v>0</v>
      </c>
    </row>
    <row r="50" spans="1:21" x14ac:dyDescent="0.25">
      <c r="B50" s="26">
        <v>47</v>
      </c>
      <c r="C50" s="52">
        <f t="shared" si="0"/>
        <v>0.10286392984144729</v>
      </c>
      <c r="D50" s="52">
        <f t="shared" si="1"/>
        <v>0.10286392984144729</v>
      </c>
      <c r="E50" s="48">
        <f t="shared" si="2"/>
        <v>0</v>
      </c>
      <c r="F50" s="48">
        <f t="shared" si="3"/>
        <v>0</v>
      </c>
      <c r="G50" s="48">
        <f t="shared" si="4"/>
        <v>0.10286392984144729</v>
      </c>
      <c r="H50" s="30">
        <f t="shared" si="5"/>
        <v>0</v>
      </c>
    </row>
    <row r="51" spans="1:21" x14ac:dyDescent="0.25">
      <c r="B51" s="26">
        <v>48</v>
      </c>
      <c r="C51" s="52">
        <f t="shared" si="0"/>
        <v>4.8839598246448116E-4</v>
      </c>
      <c r="D51" s="52">
        <f t="shared" si="1"/>
        <v>4.8839598246448116E-4</v>
      </c>
      <c r="E51" s="48">
        <f t="shared" si="2"/>
        <v>0</v>
      </c>
      <c r="F51" s="48">
        <f t="shared" si="3"/>
        <v>0</v>
      </c>
      <c r="G51" s="48">
        <f t="shared" si="4"/>
        <v>4.8839598246448116E-4</v>
      </c>
      <c r="H51" s="30">
        <f t="shared" si="5"/>
        <v>0</v>
      </c>
    </row>
    <row r="52" spans="1:21" x14ac:dyDescent="0.25">
      <c r="B52" s="26">
        <v>49</v>
      </c>
      <c r="C52" s="52">
        <f t="shared" si="0"/>
        <v>8.9994584917830328E-2</v>
      </c>
      <c r="D52" s="52">
        <f t="shared" si="1"/>
        <v>8.9994584917830328E-2</v>
      </c>
      <c r="E52" s="48">
        <f t="shared" si="2"/>
        <v>0</v>
      </c>
      <c r="F52" s="48">
        <f t="shared" si="3"/>
        <v>0</v>
      </c>
      <c r="G52" s="48">
        <f t="shared" si="4"/>
        <v>8.9994584917830328E-2</v>
      </c>
      <c r="H52" s="30">
        <f t="shared" si="5"/>
        <v>0</v>
      </c>
    </row>
    <row r="53" spans="1:21" x14ac:dyDescent="0.25">
      <c r="B53" s="26">
        <v>50</v>
      </c>
      <c r="C53" s="52">
        <f t="shared" si="0"/>
        <v>1.3723161044338777E-3</v>
      </c>
      <c r="D53" s="52">
        <f t="shared" si="1"/>
        <v>1.3723161044338777E-3</v>
      </c>
      <c r="E53" s="48">
        <f t="shared" si="2"/>
        <v>0</v>
      </c>
      <c r="F53" s="48">
        <f t="shared" si="3"/>
        <v>0</v>
      </c>
      <c r="G53" s="48">
        <f t="shared" si="4"/>
        <v>1.3723161044338777E-3</v>
      </c>
      <c r="H53" s="30">
        <f t="shared" si="5"/>
        <v>0</v>
      </c>
    </row>
    <row r="54" spans="1:21" x14ac:dyDescent="0.25">
      <c r="C54" s="41"/>
      <c r="D54" s="41"/>
    </row>
    <row r="55" spans="1:21" x14ac:dyDescent="0.25">
      <c r="F55" s="26" t="s">
        <v>85</v>
      </c>
      <c r="G55" s="29">
        <f>SQRT(SUMSQ(G5:G53))</f>
        <v>4.826556572585889</v>
      </c>
      <c r="H55" s="29">
        <f>SQRT(SUMSQ(H5:H53))</f>
        <v>0</v>
      </c>
      <c r="I55" s="26" t="s">
        <v>52</v>
      </c>
    </row>
    <row r="56" spans="1:21" x14ac:dyDescent="0.25">
      <c r="F56" s="26" t="s">
        <v>86</v>
      </c>
      <c r="G56" s="29">
        <f>SQRT(SUMSQ(G4:G53))</f>
        <v>100.11641048473712</v>
      </c>
      <c r="H56" s="29">
        <f>SQRT(SUMSQ(H4:H53))</f>
        <v>0</v>
      </c>
      <c r="I56" s="26" t="s">
        <v>54</v>
      </c>
    </row>
    <row r="57" spans="1:21" x14ac:dyDescent="0.25">
      <c r="G57" s="26" t="s">
        <v>87</v>
      </c>
      <c r="H57" s="26" t="s">
        <v>13</v>
      </c>
    </row>
    <row r="59" spans="1:21" ht="14.4" x14ac:dyDescent="0.3">
      <c r="A59" s="25" t="s">
        <v>63</v>
      </c>
      <c r="C59"/>
      <c r="D59"/>
      <c r="E59"/>
      <c r="F59"/>
      <c r="G59"/>
      <c r="H59"/>
      <c r="I59"/>
      <c r="J59"/>
      <c r="K59"/>
      <c r="L59"/>
      <c r="M59"/>
      <c r="N59"/>
      <c r="O59"/>
      <c r="P59"/>
      <c r="Q59"/>
      <c r="R59"/>
      <c r="S59"/>
      <c r="T59"/>
      <c r="U59"/>
    </row>
    <row r="60" spans="1:21" ht="14.4" x14ac:dyDescent="0.3">
      <c r="C60" s="1" t="s">
        <v>478</v>
      </c>
      <c r="D60" s="7">
        <f>100/D62</f>
        <v>1000</v>
      </c>
      <c r="E60" s="7">
        <f t="shared" ref="E60:U60" si="6">100/E62</f>
        <v>200</v>
      </c>
      <c r="F60" s="7">
        <f t="shared" si="6"/>
        <v>100</v>
      </c>
      <c r="G60" s="7">
        <f t="shared" si="6"/>
        <v>50</v>
      </c>
      <c r="H60" s="7">
        <f t="shared" si="6"/>
        <v>33.333333333333336</v>
      </c>
      <c r="I60" s="7">
        <f t="shared" si="6"/>
        <v>25</v>
      </c>
      <c r="J60" s="7">
        <f t="shared" si="6"/>
        <v>20</v>
      </c>
      <c r="K60" s="7">
        <f t="shared" si="6"/>
        <v>16.666666666666668</v>
      </c>
      <c r="L60" s="7">
        <f t="shared" si="6"/>
        <v>14.285714285714286</v>
      </c>
      <c r="M60" s="7">
        <f t="shared" si="6"/>
        <v>12.5</v>
      </c>
      <c r="N60" s="7">
        <f t="shared" si="6"/>
        <v>10</v>
      </c>
      <c r="O60" s="7">
        <f t="shared" si="6"/>
        <v>8.3333333333333339</v>
      </c>
      <c r="P60" s="7">
        <f t="shared" si="6"/>
        <v>7.1428571428571432</v>
      </c>
      <c r="Q60" s="7">
        <f t="shared" si="6"/>
        <v>5.5555555555555554</v>
      </c>
      <c r="R60" s="7">
        <f t="shared" si="6"/>
        <v>4.7619047619047619</v>
      </c>
      <c r="S60" s="7">
        <f t="shared" si="6"/>
        <v>1</v>
      </c>
      <c r="T60" s="7">
        <f t="shared" si="6"/>
        <v>0.1</v>
      </c>
      <c r="U60" s="7">
        <f t="shared" si="6"/>
        <v>0.01</v>
      </c>
    </row>
    <row r="61" spans="1:21" ht="14.4" x14ac:dyDescent="0.3">
      <c r="C61" s="1" t="s">
        <v>64</v>
      </c>
      <c r="D61">
        <v>0</v>
      </c>
      <c r="E61">
        <v>1</v>
      </c>
      <c r="F61">
        <v>2</v>
      </c>
      <c r="G61">
        <v>3</v>
      </c>
      <c r="H61">
        <v>4</v>
      </c>
      <c r="I61">
        <v>5</v>
      </c>
      <c r="J61">
        <v>6</v>
      </c>
      <c r="K61">
        <v>7</v>
      </c>
      <c r="L61">
        <v>8</v>
      </c>
      <c r="M61">
        <v>9</v>
      </c>
      <c r="N61">
        <v>10</v>
      </c>
      <c r="O61">
        <v>11</v>
      </c>
      <c r="P61">
        <v>12</v>
      </c>
      <c r="Q61">
        <v>13</v>
      </c>
      <c r="R61">
        <v>14</v>
      </c>
      <c r="S61">
        <v>15</v>
      </c>
      <c r="T61">
        <v>16</v>
      </c>
      <c r="U61">
        <v>17</v>
      </c>
    </row>
    <row r="62" spans="1:21" ht="14.4" x14ac:dyDescent="0.3">
      <c r="A62" s="26" t="s">
        <v>65</v>
      </c>
      <c r="B62" s="54"/>
      <c r="C62" s="216" t="s">
        <v>1</v>
      </c>
      <c r="D62" s="296">
        <v>0.1</v>
      </c>
      <c r="E62" s="296">
        <v>0.5</v>
      </c>
      <c r="F62" s="296">
        <v>1</v>
      </c>
      <c r="G62" s="296">
        <v>2</v>
      </c>
      <c r="H62" s="296">
        <v>3</v>
      </c>
      <c r="I62" s="296">
        <v>4</v>
      </c>
      <c r="J62" s="296">
        <v>5</v>
      </c>
      <c r="K62" s="296">
        <v>6</v>
      </c>
      <c r="L62" s="296">
        <v>7</v>
      </c>
      <c r="M62" s="296">
        <v>8</v>
      </c>
      <c r="N62" s="296">
        <v>10</v>
      </c>
      <c r="O62" s="296">
        <v>12</v>
      </c>
      <c r="P62" s="296">
        <v>14</v>
      </c>
      <c r="Q62" s="296">
        <v>18</v>
      </c>
      <c r="R62" s="296">
        <v>21</v>
      </c>
      <c r="S62" s="296">
        <v>100</v>
      </c>
      <c r="T62" s="296">
        <v>1000</v>
      </c>
      <c r="U62" s="296">
        <v>10000</v>
      </c>
    </row>
    <row r="63" spans="1:21" ht="14.4" x14ac:dyDescent="0.3">
      <c r="A63" s="31"/>
      <c r="C63" s="1" t="s">
        <v>64</v>
      </c>
      <c r="D63">
        <v>0</v>
      </c>
      <c r="E63">
        <v>1</v>
      </c>
      <c r="F63">
        <v>2</v>
      </c>
      <c r="G63">
        <v>3</v>
      </c>
      <c r="H63">
        <v>4</v>
      </c>
      <c r="I63">
        <v>5</v>
      </c>
      <c r="J63">
        <v>6</v>
      </c>
      <c r="K63">
        <v>7</v>
      </c>
      <c r="L63">
        <v>8</v>
      </c>
      <c r="M63">
        <v>9</v>
      </c>
      <c r="N63">
        <v>10</v>
      </c>
      <c r="O63">
        <v>11</v>
      </c>
      <c r="P63">
        <v>12</v>
      </c>
      <c r="Q63">
        <v>13</v>
      </c>
      <c r="R63">
        <v>14</v>
      </c>
      <c r="S63">
        <v>15</v>
      </c>
      <c r="T63">
        <v>16</v>
      </c>
      <c r="U63">
        <v>17</v>
      </c>
    </row>
    <row r="64" spans="1:21" ht="14.4" x14ac:dyDescent="0.3">
      <c r="A64" s="43">
        <v>2</v>
      </c>
      <c r="B64" s="43"/>
      <c r="C64" s="1"/>
      <c r="D64" s="318">
        <v>0.20697328505530507</v>
      </c>
      <c r="E64" s="318">
        <v>0.20518974772917717</v>
      </c>
      <c r="F64" s="318">
        <v>0.20336473279081374</v>
      </c>
      <c r="G64" s="318">
        <v>0.20158119546468589</v>
      </c>
      <c r="H64" s="318">
        <v>0.20033686709761994</v>
      </c>
      <c r="I64" s="318">
        <v>0.20033686709761994</v>
      </c>
      <c r="J64" s="318">
        <v>0.20033686709761994</v>
      </c>
      <c r="K64" s="318">
        <v>0.20033686709761994</v>
      </c>
      <c r="L64" s="318">
        <v>0.20033686709761994</v>
      </c>
      <c r="M64" s="318">
        <v>0.20033686709761994</v>
      </c>
      <c r="N64" s="318">
        <v>0.20033686709761994</v>
      </c>
      <c r="O64" s="318">
        <v>0.20033686709761994</v>
      </c>
      <c r="P64" s="318">
        <v>0.20033686709761994</v>
      </c>
      <c r="Q64" s="318">
        <v>0.20033686709761994</v>
      </c>
      <c r="R64" s="318">
        <v>0.20033686709761994</v>
      </c>
      <c r="S64" s="318">
        <v>0.20033686709761994</v>
      </c>
      <c r="T64" s="318">
        <v>0.20033686709761994</v>
      </c>
      <c r="U64" s="318">
        <v>0.20033686709761994</v>
      </c>
    </row>
    <row r="65" spans="1:21" ht="14.4" x14ac:dyDescent="0.3">
      <c r="A65" s="43">
        <v>3</v>
      </c>
      <c r="B65" s="43"/>
      <c r="C65" s="1"/>
      <c r="D65" s="318">
        <v>2.8443996678375726E-2</v>
      </c>
      <c r="E65" s="318">
        <v>2.8198888089764469E-2</v>
      </c>
      <c r="F65" s="318">
        <v>2.7948079301418068E-2</v>
      </c>
      <c r="G65" s="318">
        <v>2.7702970712806821E-2</v>
      </c>
      <c r="H65" s="318">
        <v>2.7531964720752457E-2</v>
      </c>
      <c r="I65" s="318">
        <v>2.7531964720752457E-2</v>
      </c>
      <c r="J65" s="318">
        <v>2.7531964720752457E-2</v>
      </c>
      <c r="K65" s="318">
        <v>2.7531964720752457E-2</v>
      </c>
      <c r="L65" s="318">
        <v>2.7531964720752457E-2</v>
      </c>
      <c r="M65" s="318">
        <v>2.7531964720752457E-2</v>
      </c>
      <c r="N65" s="318">
        <v>2.7531964720752457E-2</v>
      </c>
      <c r="O65" s="318">
        <v>2.7531964720752457E-2</v>
      </c>
      <c r="P65" s="318">
        <v>2.7531964720752457E-2</v>
      </c>
      <c r="Q65" s="318">
        <v>2.7531964720752457E-2</v>
      </c>
      <c r="R65" s="318">
        <v>2.7531964720752457E-2</v>
      </c>
      <c r="S65" s="318">
        <v>2.7531964720752457E-2</v>
      </c>
      <c r="T65" s="318">
        <v>2.7531964720752457E-2</v>
      </c>
      <c r="U65" s="318">
        <v>2.7531964720752457E-2</v>
      </c>
    </row>
    <row r="66" spans="1:21" ht="14.4" x14ac:dyDescent="0.3">
      <c r="A66" s="43">
        <v>4</v>
      </c>
      <c r="B66" s="43"/>
      <c r="C66" s="1"/>
      <c r="D66" s="318">
        <v>0.18681574970450104</v>
      </c>
      <c r="E66" s="318">
        <v>0.18520591458680694</v>
      </c>
      <c r="F66" s="318">
        <v>0.18355864144311992</v>
      </c>
      <c r="G66" s="318">
        <v>0.18194880632542587</v>
      </c>
      <c r="H66" s="318">
        <v>0.18082566554563928</v>
      </c>
      <c r="I66" s="318">
        <v>0.18082566554563928</v>
      </c>
      <c r="J66" s="318">
        <v>0.18082566554563928</v>
      </c>
      <c r="K66" s="318">
        <v>0.18082566554563928</v>
      </c>
      <c r="L66" s="318">
        <v>0.18082566554563928</v>
      </c>
      <c r="M66" s="318">
        <v>0.18082566554563928</v>
      </c>
      <c r="N66" s="318">
        <v>0.18082566554563928</v>
      </c>
      <c r="O66" s="318">
        <v>0.18082566554563928</v>
      </c>
      <c r="P66" s="318">
        <v>0.18082566554563928</v>
      </c>
      <c r="Q66" s="318">
        <v>0.18082566554563928</v>
      </c>
      <c r="R66" s="318">
        <v>0.18082566554563928</v>
      </c>
      <c r="S66" s="318">
        <v>0.18082566554563928</v>
      </c>
      <c r="T66" s="318">
        <v>0.18082566554563928</v>
      </c>
      <c r="U66" s="318">
        <v>0.18082566554563928</v>
      </c>
    </row>
    <row r="67" spans="1:21" ht="14.4" x14ac:dyDescent="0.3">
      <c r="A67" s="43">
        <v>5</v>
      </c>
      <c r="B67" s="43"/>
      <c r="C67" s="1"/>
      <c r="D67" s="318">
        <v>3.306360991269139</v>
      </c>
      <c r="E67" s="318">
        <v>3.2778693033684227</v>
      </c>
      <c r="F67" s="318">
        <v>3.2487150180746664</v>
      </c>
      <c r="G67" s="318">
        <v>3.2202233301739507</v>
      </c>
      <c r="H67" s="318">
        <v>3.2003454083827538</v>
      </c>
      <c r="I67" s="318">
        <v>3.2003454083827538</v>
      </c>
      <c r="J67" s="318">
        <v>3.2003454083827538</v>
      </c>
      <c r="K67" s="318">
        <v>3.2003454083827538</v>
      </c>
      <c r="L67" s="318">
        <v>3.2003454083827538</v>
      </c>
      <c r="M67" s="318">
        <v>3.2003454083827538</v>
      </c>
      <c r="N67" s="318">
        <v>3.2003454083827538</v>
      </c>
      <c r="O67" s="318">
        <v>3.2003454083827538</v>
      </c>
      <c r="P67" s="318">
        <v>3.2003454083827538</v>
      </c>
      <c r="Q67" s="318">
        <v>3.2003454083827538</v>
      </c>
      <c r="R67" s="318">
        <v>3.2003454083827538</v>
      </c>
      <c r="S67" s="318">
        <v>3.2003454083827538</v>
      </c>
      <c r="T67" s="318">
        <v>3.2003454083827538</v>
      </c>
      <c r="U67" s="318">
        <v>3.2003454083827538</v>
      </c>
    </row>
    <row r="68" spans="1:21" ht="14.4" x14ac:dyDescent="0.3">
      <c r="A68" s="43">
        <v>6</v>
      </c>
      <c r="B68" s="43"/>
      <c r="C68" s="1"/>
      <c r="D68" s="318">
        <v>1.2775754225618307E-2</v>
      </c>
      <c r="E68" s="318">
        <v>1.2665662555938628E-2</v>
      </c>
      <c r="F68" s="318">
        <v>1.2553010614871052E-2</v>
      </c>
      <c r="G68" s="318">
        <v>1.2442918945191377E-2</v>
      </c>
      <c r="H68" s="318">
        <v>1.2366110803554393E-2</v>
      </c>
      <c r="I68" s="318">
        <v>1.2366110803554393E-2</v>
      </c>
      <c r="J68" s="318">
        <v>1.2366110803554393E-2</v>
      </c>
      <c r="K68" s="318">
        <v>1.2366110803554393E-2</v>
      </c>
      <c r="L68" s="318">
        <v>1.2366110803554393E-2</v>
      </c>
      <c r="M68" s="318">
        <v>1.2366110803554393E-2</v>
      </c>
      <c r="N68" s="318">
        <v>1.2366110803554393E-2</v>
      </c>
      <c r="O68" s="318">
        <v>1.2366110803554393E-2</v>
      </c>
      <c r="P68" s="318">
        <v>1.2366110803554393E-2</v>
      </c>
      <c r="Q68" s="318">
        <v>1.2366110803554393E-2</v>
      </c>
      <c r="R68" s="318">
        <v>1.2366110803554393E-2</v>
      </c>
      <c r="S68" s="318">
        <v>1.2366110803554393E-2</v>
      </c>
      <c r="T68" s="318">
        <v>1.2366110803554393E-2</v>
      </c>
      <c r="U68" s="318">
        <v>1.2366110803554393E-2</v>
      </c>
    </row>
    <row r="69" spans="1:21" ht="14.4" x14ac:dyDescent="0.3">
      <c r="A69" s="43">
        <v>7</v>
      </c>
      <c r="B69" s="43"/>
      <c r="C69" s="1"/>
      <c r="D69" s="318">
        <v>2.3633383613042689</v>
      </c>
      <c r="E69" s="318">
        <v>2.3429729205154741</v>
      </c>
      <c r="F69" s="318">
        <v>2.322133864824615</v>
      </c>
      <c r="G69" s="318">
        <v>2.3017684240358207</v>
      </c>
      <c r="H69" s="318">
        <v>2.2875599769738715</v>
      </c>
      <c r="I69" s="318">
        <v>2.2875599769738715</v>
      </c>
      <c r="J69" s="318">
        <v>2.2875599769738715</v>
      </c>
      <c r="K69" s="318">
        <v>2.2875599769738715</v>
      </c>
      <c r="L69" s="318">
        <v>2.2875599769738715</v>
      </c>
      <c r="M69" s="318">
        <v>2.2875599769738715</v>
      </c>
      <c r="N69" s="318">
        <v>2.2875599769738715</v>
      </c>
      <c r="O69" s="318">
        <v>2.2875599769738715</v>
      </c>
      <c r="P69" s="318">
        <v>2.2875599769738715</v>
      </c>
      <c r="Q69" s="318">
        <v>2.2875599769738715</v>
      </c>
      <c r="R69" s="318">
        <v>2.2875599769738715</v>
      </c>
      <c r="S69" s="318">
        <v>2.2875599769738715</v>
      </c>
      <c r="T69" s="318">
        <v>2.2875599769738715</v>
      </c>
      <c r="U69" s="318">
        <v>2.2875599769738715</v>
      </c>
    </row>
    <row r="70" spans="1:21" ht="14.4" x14ac:dyDescent="0.3">
      <c r="A70" s="43">
        <v>8</v>
      </c>
      <c r="B70" s="43"/>
      <c r="C70" s="1"/>
      <c r="D70" s="318">
        <v>1.2357716487193368E-2</v>
      </c>
      <c r="E70" s="318">
        <v>1.2251227146722561E-2</v>
      </c>
      <c r="F70" s="318">
        <v>1.2142261309961738E-2</v>
      </c>
      <c r="G70" s="318">
        <v>1.2035771969490934E-2</v>
      </c>
      <c r="H70" s="318">
        <v>1.1961477080790374E-2</v>
      </c>
      <c r="I70" s="318">
        <v>1.1961477080790374E-2</v>
      </c>
      <c r="J70" s="318">
        <v>1.1961477080790374E-2</v>
      </c>
      <c r="K70" s="318">
        <v>1.1961477080790374E-2</v>
      </c>
      <c r="L70" s="318">
        <v>1.1961477080790374E-2</v>
      </c>
      <c r="M70" s="318">
        <v>1.1961477080790374E-2</v>
      </c>
      <c r="N70" s="318">
        <v>1.1961477080790374E-2</v>
      </c>
      <c r="O70" s="318">
        <v>1.1961477080790374E-2</v>
      </c>
      <c r="P70" s="318">
        <v>1.1961477080790374E-2</v>
      </c>
      <c r="Q70" s="318">
        <v>1.1961477080790374E-2</v>
      </c>
      <c r="R70" s="318">
        <v>1.1961477080790374E-2</v>
      </c>
      <c r="S70" s="318">
        <v>1.1961477080790374E-2</v>
      </c>
      <c r="T70" s="318">
        <v>1.1961477080790374E-2</v>
      </c>
      <c r="U70" s="318">
        <v>1.1961477080790374E-2</v>
      </c>
    </row>
    <row r="71" spans="1:21" ht="14.4" x14ac:dyDescent="0.3">
      <c r="A71" s="43">
        <v>9</v>
      </c>
      <c r="B71" s="43"/>
      <c r="C71" s="1"/>
      <c r="D71" s="318">
        <v>6.0427198824762199E-3</v>
      </c>
      <c r="E71" s="318">
        <v>5.9906483484188089E-3</v>
      </c>
      <c r="F71" s="318">
        <v>5.9373658484530864E-3</v>
      </c>
      <c r="G71" s="318">
        <v>5.8852943143956771E-3</v>
      </c>
      <c r="H71" s="318">
        <v>5.8489653371463215E-3</v>
      </c>
      <c r="I71" s="318">
        <v>5.8489653371463215E-3</v>
      </c>
      <c r="J71" s="318">
        <v>5.8489653371463215E-3</v>
      </c>
      <c r="K71" s="318">
        <v>5.8489653371463215E-3</v>
      </c>
      <c r="L71" s="318">
        <v>5.8489653371463215E-3</v>
      </c>
      <c r="M71" s="318">
        <v>5.8489653371463215E-3</v>
      </c>
      <c r="N71" s="318">
        <v>5.8489653371463215E-3</v>
      </c>
      <c r="O71" s="318">
        <v>5.8489653371463215E-3</v>
      </c>
      <c r="P71" s="318">
        <v>5.8489653371463215E-3</v>
      </c>
      <c r="Q71" s="318">
        <v>5.8489653371463215E-3</v>
      </c>
      <c r="R71" s="318">
        <v>5.8489653371463215E-3</v>
      </c>
      <c r="S71" s="318">
        <v>5.8489653371463215E-3</v>
      </c>
      <c r="T71" s="318">
        <v>5.8489653371463215E-3</v>
      </c>
      <c r="U71" s="318">
        <v>5.8489653371463215E-3</v>
      </c>
    </row>
    <row r="72" spans="1:21" ht="14.4" x14ac:dyDescent="0.3">
      <c r="A72" s="43">
        <v>10</v>
      </c>
      <c r="B72" s="43"/>
      <c r="C72" s="1"/>
      <c r="D72" s="318">
        <v>3.4022526007580932E-3</v>
      </c>
      <c r="E72" s="318">
        <v>3.3729345923748065E-3</v>
      </c>
      <c r="F72" s="318">
        <v>3.3429347698430718E-3</v>
      </c>
      <c r="G72" s="318">
        <v>3.313616761459786E-3</v>
      </c>
      <c r="H72" s="318">
        <v>3.2931623370063305E-3</v>
      </c>
      <c r="I72" s="318">
        <v>3.2931623370063305E-3</v>
      </c>
      <c r="J72" s="318">
        <v>3.2931623370063305E-3</v>
      </c>
      <c r="K72" s="318">
        <v>3.2931623370063305E-3</v>
      </c>
      <c r="L72" s="318">
        <v>3.2931623370063305E-3</v>
      </c>
      <c r="M72" s="318">
        <v>3.2931623370063305E-3</v>
      </c>
      <c r="N72" s="318">
        <v>3.2931623370063305E-3</v>
      </c>
      <c r="O72" s="318">
        <v>3.2931623370063305E-3</v>
      </c>
      <c r="P72" s="318">
        <v>3.2931623370063305E-3</v>
      </c>
      <c r="Q72" s="318">
        <v>3.2931623370063305E-3</v>
      </c>
      <c r="R72" s="318">
        <v>3.2931623370063305E-3</v>
      </c>
      <c r="S72" s="318">
        <v>3.2931623370063305E-3</v>
      </c>
      <c r="T72" s="318">
        <v>3.2931623370063305E-3</v>
      </c>
      <c r="U72" s="318">
        <v>3.2931623370063305E-3</v>
      </c>
    </row>
    <row r="73" spans="1:21" ht="14.4" x14ac:dyDescent="0.3">
      <c r="A73" s="43">
        <v>11</v>
      </c>
      <c r="B73" s="43"/>
      <c r="C73" s="1"/>
      <c r="D73" s="318">
        <v>2.1961941781275649</v>
      </c>
      <c r="E73" s="318">
        <v>2.1772690579553231</v>
      </c>
      <c r="F73" s="318">
        <v>2.1579038187093085</v>
      </c>
      <c r="G73" s="318">
        <v>2.1389786985370671</v>
      </c>
      <c r="H73" s="318">
        <v>2.1257751263238753</v>
      </c>
      <c r="I73" s="318">
        <v>2.1257751263238753</v>
      </c>
      <c r="J73" s="318">
        <v>2.1257751263238753</v>
      </c>
      <c r="K73" s="318">
        <v>2.1257751263238753</v>
      </c>
      <c r="L73" s="318">
        <v>2.1257751263238753</v>
      </c>
      <c r="M73" s="318">
        <v>2.1257751263238753</v>
      </c>
      <c r="N73" s="318">
        <v>2.1257751263238753</v>
      </c>
      <c r="O73" s="318">
        <v>2.1257751263238753</v>
      </c>
      <c r="P73" s="318">
        <v>2.1257751263238753</v>
      </c>
      <c r="Q73" s="318">
        <v>2.1257751263238753</v>
      </c>
      <c r="R73" s="318">
        <v>2.1257751263238753</v>
      </c>
      <c r="S73" s="318">
        <v>2.1257751263238753</v>
      </c>
      <c r="T73" s="318">
        <v>2.1257751263238753</v>
      </c>
      <c r="U73" s="318">
        <v>2.1257751263238753</v>
      </c>
    </row>
    <row r="74" spans="1:21" ht="14.4" x14ac:dyDescent="0.3">
      <c r="A74" s="43">
        <v>12</v>
      </c>
      <c r="B74" s="43"/>
      <c r="C74" s="1"/>
      <c r="D74" s="318">
        <v>2.1272957025884978E-3</v>
      </c>
      <c r="E74" s="318">
        <v>2.1089642967345285E-3</v>
      </c>
      <c r="F74" s="318">
        <v>2.0902065791165137E-3</v>
      </c>
      <c r="G74" s="318">
        <v>2.0718751732625449E-3</v>
      </c>
      <c r="H74" s="318">
        <v>2.0590858203411713E-3</v>
      </c>
      <c r="I74" s="318">
        <v>2.0590858203411713E-3</v>
      </c>
      <c r="J74" s="318">
        <v>2.0590858203411713E-3</v>
      </c>
      <c r="K74" s="318">
        <v>2.0590858203411713E-3</v>
      </c>
      <c r="L74" s="318">
        <v>2.0590858203411713E-3</v>
      </c>
      <c r="M74" s="318">
        <v>2.0590858203411713E-3</v>
      </c>
      <c r="N74" s="318">
        <v>2.0590858203411713E-3</v>
      </c>
      <c r="O74" s="318">
        <v>2.0590858203411713E-3</v>
      </c>
      <c r="P74" s="318">
        <v>2.0590858203411713E-3</v>
      </c>
      <c r="Q74" s="318">
        <v>2.0590858203411713E-3</v>
      </c>
      <c r="R74" s="318">
        <v>2.0590858203411713E-3</v>
      </c>
      <c r="S74" s="318">
        <v>2.0590858203411713E-3</v>
      </c>
      <c r="T74" s="318">
        <v>2.0590858203411713E-3</v>
      </c>
      <c r="U74" s="318">
        <v>2.0590858203411713E-3</v>
      </c>
    </row>
    <row r="75" spans="1:21" ht="14.4" x14ac:dyDescent="0.3">
      <c r="A75" s="43">
        <v>13</v>
      </c>
      <c r="B75" s="43"/>
      <c r="C75" s="1"/>
      <c r="D75" s="318">
        <v>1.4153409083284725</v>
      </c>
      <c r="E75" s="318">
        <v>1.4031445838679264</v>
      </c>
      <c r="F75" s="318">
        <v>1.3906646239548095</v>
      </c>
      <c r="G75" s="318">
        <v>1.3784682994942636</v>
      </c>
      <c r="H75" s="318">
        <v>1.3699592359171386</v>
      </c>
      <c r="I75" s="318">
        <v>1.3699592359171386</v>
      </c>
      <c r="J75" s="318">
        <v>1.3699592359171386</v>
      </c>
      <c r="K75" s="318">
        <v>1.3699592359171386</v>
      </c>
      <c r="L75" s="318">
        <v>1.3699592359171386</v>
      </c>
      <c r="M75" s="318">
        <v>1.3699592359171386</v>
      </c>
      <c r="N75" s="318">
        <v>1.3699592359171386</v>
      </c>
      <c r="O75" s="318">
        <v>1.3699592359171386</v>
      </c>
      <c r="P75" s="318">
        <v>1.3699592359171386</v>
      </c>
      <c r="Q75" s="318">
        <v>1.3699592359171386</v>
      </c>
      <c r="R75" s="318">
        <v>1.3699592359171386</v>
      </c>
      <c r="S75" s="318">
        <v>1.3699592359171386</v>
      </c>
      <c r="T75" s="318">
        <v>1.3699592359171386</v>
      </c>
      <c r="U75" s="318">
        <v>1.3699592359171386</v>
      </c>
    </row>
    <row r="76" spans="1:21" ht="14.4" x14ac:dyDescent="0.3">
      <c r="A76" s="43">
        <v>14</v>
      </c>
      <c r="B76" s="43"/>
      <c r="C76" s="1"/>
      <c r="D76" s="318">
        <v>7.5440707250987536E-3</v>
      </c>
      <c r="E76" s="318">
        <v>7.4790616988103268E-3</v>
      </c>
      <c r="F76" s="318">
        <v>7.4125408347012391E-3</v>
      </c>
      <c r="G76" s="318">
        <v>7.3475318084128141E-3</v>
      </c>
      <c r="H76" s="318">
        <v>7.302176673792982E-3</v>
      </c>
      <c r="I76" s="318">
        <v>7.302176673792982E-3</v>
      </c>
      <c r="J76" s="318">
        <v>7.302176673792982E-3</v>
      </c>
      <c r="K76" s="318">
        <v>7.302176673792982E-3</v>
      </c>
      <c r="L76" s="318">
        <v>7.302176673792982E-3</v>
      </c>
      <c r="M76" s="318">
        <v>7.302176673792982E-3</v>
      </c>
      <c r="N76" s="318">
        <v>7.302176673792982E-3</v>
      </c>
      <c r="O76" s="318">
        <v>7.302176673792982E-3</v>
      </c>
      <c r="P76" s="318">
        <v>7.302176673792982E-3</v>
      </c>
      <c r="Q76" s="318">
        <v>7.302176673792982E-3</v>
      </c>
      <c r="R76" s="318">
        <v>7.302176673792982E-3</v>
      </c>
      <c r="S76" s="318">
        <v>7.302176673792982E-3</v>
      </c>
      <c r="T76" s="318">
        <v>7.302176673792982E-3</v>
      </c>
      <c r="U76" s="318">
        <v>7.302176673792982E-3</v>
      </c>
    </row>
    <row r="77" spans="1:21" ht="14.4" x14ac:dyDescent="0.3">
      <c r="A77" s="43">
        <v>15</v>
      </c>
      <c r="B77" s="43"/>
      <c r="C77" s="1"/>
      <c r="D77" s="318">
        <v>1.4057523855031829E-3</v>
      </c>
      <c r="E77" s="318">
        <v>1.393638687592033E-3</v>
      </c>
      <c r="F77" s="318">
        <v>1.3812432757759729E-3</v>
      </c>
      <c r="G77" s="318">
        <v>1.3691295778648234E-3</v>
      </c>
      <c r="H77" s="318">
        <v>1.3606781607175098E-3</v>
      </c>
      <c r="I77" s="318">
        <v>1.3606781607175098E-3</v>
      </c>
      <c r="J77" s="318">
        <v>1.3606781607175098E-3</v>
      </c>
      <c r="K77" s="318">
        <v>1.3606781607175098E-3</v>
      </c>
      <c r="L77" s="318">
        <v>1.3606781607175098E-3</v>
      </c>
      <c r="M77" s="318">
        <v>1.3606781607175098E-3</v>
      </c>
      <c r="N77" s="318">
        <v>1.3606781607175098E-3</v>
      </c>
      <c r="O77" s="318">
        <v>1.3606781607175098E-3</v>
      </c>
      <c r="P77" s="318">
        <v>1.3606781607175098E-3</v>
      </c>
      <c r="Q77" s="318">
        <v>1.3606781607175098E-3</v>
      </c>
      <c r="R77" s="318">
        <v>1.3606781607175098E-3</v>
      </c>
      <c r="S77" s="318">
        <v>1.3606781607175098E-3</v>
      </c>
      <c r="T77" s="318">
        <v>1.3606781607175098E-3</v>
      </c>
      <c r="U77" s="318">
        <v>1.3606781607175098E-3</v>
      </c>
    </row>
    <row r="78" spans="1:21" ht="14.4" x14ac:dyDescent="0.3">
      <c r="A78" s="43">
        <v>16</v>
      </c>
      <c r="B78" s="43"/>
      <c r="C78" s="1"/>
      <c r="D78" s="318">
        <v>6.3134207948196252E-3</v>
      </c>
      <c r="E78" s="318">
        <v>6.2590165675295954E-3</v>
      </c>
      <c r="F78" s="318">
        <v>6.2033471256514264E-3</v>
      </c>
      <c r="G78" s="318">
        <v>6.1489428983613984E-3</v>
      </c>
      <c r="H78" s="318">
        <v>6.1109864607171924E-3</v>
      </c>
      <c r="I78" s="318">
        <v>6.1109864607171924E-3</v>
      </c>
      <c r="J78" s="318">
        <v>6.1109864607171924E-3</v>
      </c>
      <c r="K78" s="318">
        <v>6.1109864607171924E-3</v>
      </c>
      <c r="L78" s="318">
        <v>6.1109864607171924E-3</v>
      </c>
      <c r="M78" s="318">
        <v>6.1109864607171924E-3</v>
      </c>
      <c r="N78" s="318">
        <v>6.1109864607171924E-3</v>
      </c>
      <c r="O78" s="318">
        <v>6.1109864607171924E-3</v>
      </c>
      <c r="P78" s="318">
        <v>6.1109864607171924E-3</v>
      </c>
      <c r="Q78" s="318">
        <v>6.1109864607171924E-3</v>
      </c>
      <c r="R78" s="318">
        <v>6.1109864607171924E-3</v>
      </c>
      <c r="S78" s="318">
        <v>6.1109864607171924E-3</v>
      </c>
      <c r="T78" s="318">
        <v>6.1109864607171924E-3</v>
      </c>
      <c r="U78" s="318">
        <v>6.1109864607171924E-3</v>
      </c>
    </row>
    <row r="79" spans="1:21" ht="14.4" x14ac:dyDescent="0.3">
      <c r="A79" s="43">
        <v>17</v>
      </c>
      <c r="B79" s="43"/>
      <c r="C79" s="1"/>
      <c r="D79" s="318">
        <v>0.70551904702869006</v>
      </c>
      <c r="E79" s="318">
        <v>0.69943942397814218</v>
      </c>
      <c r="F79" s="318">
        <v>0.6932184143450234</v>
      </c>
      <c r="G79" s="318">
        <v>0.68713879129447564</v>
      </c>
      <c r="H79" s="318">
        <v>0.68289719381734926</v>
      </c>
      <c r="I79" s="318">
        <v>0.68289719381734926</v>
      </c>
      <c r="J79" s="318">
        <v>0.68289719381734926</v>
      </c>
      <c r="K79" s="318">
        <v>0.68289719381734926</v>
      </c>
      <c r="L79" s="318">
        <v>0.68289719381734926</v>
      </c>
      <c r="M79" s="318">
        <v>0.68289719381734926</v>
      </c>
      <c r="N79" s="318">
        <v>0.68289719381734926</v>
      </c>
      <c r="O79" s="318">
        <v>0.68289719381734926</v>
      </c>
      <c r="P79" s="318">
        <v>0.68289719381734926</v>
      </c>
      <c r="Q79" s="318">
        <v>0.68289719381734926</v>
      </c>
      <c r="R79" s="318">
        <v>0.68289719381734926</v>
      </c>
      <c r="S79" s="318">
        <v>0.68289719381734926</v>
      </c>
      <c r="T79" s="318">
        <v>0.68289719381734926</v>
      </c>
      <c r="U79" s="318">
        <v>0.68289719381734926</v>
      </c>
    </row>
    <row r="80" spans="1:21" ht="14.4" x14ac:dyDescent="0.3">
      <c r="A80" s="43">
        <v>18</v>
      </c>
      <c r="B80" s="43"/>
      <c r="C80" s="1"/>
      <c r="D80" s="318">
        <v>1.883836831846854E-3</v>
      </c>
      <c r="E80" s="318">
        <v>1.8676033681656085E-3</v>
      </c>
      <c r="F80" s="318">
        <v>1.8509923820731712E-3</v>
      </c>
      <c r="G80" s="318">
        <v>1.834758918391926E-3</v>
      </c>
      <c r="H80" s="318">
        <v>1.8234332460561734E-3</v>
      </c>
      <c r="I80" s="318">
        <v>1.8234332460561734E-3</v>
      </c>
      <c r="J80" s="318">
        <v>1.8234332460561734E-3</v>
      </c>
      <c r="K80" s="318">
        <v>1.8234332460561734E-3</v>
      </c>
      <c r="L80" s="318">
        <v>1.8234332460561734E-3</v>
      </c>
      <c r="M80" s="318">
        <v>1.8234332460561734E-3</v>
      </c>
      <c r="N80" s="318">
        <v>1.8234332460561734E-3</v>
      </c>
      <c r="O80" s="318">
        <v>1.8234332460561734E-3</v>
      </c>
      <c r="P80" s="318">
        <v>1.8234332460561734E-3</v>
      </c>
      <c r="Q80" s="318">
        <v>1.8234332460561734E-3</v>
      </c>
      <c r="R80" s="318">
        <v>1.8234332460561734E-3</v>
      </c>
      <c r="S80" s="318">
        <v>1.8234332460561734E-3</v>
      </c>
      <c r="T80" s="318">
        <v>1.8234332460561734E-3</v>
      </c>
      <c r="U80" s="318">
        <v>1.8234332460561734E-3</v>
      </c>
    </row>
    <row r="81" spans="1:21" ht="14.4" x14ac:dyDescent="0.3">
      <c r="A81" s="43">
        <v>19</v>
      </c>
      <c r="B81" s="43"/>
      <c r="C81" s="1"/>
      <c r="D81" s="318">
        <v>0.6629431724617828</v>
      </c>
      <c r="E81" s="318">
        <v>0.65723043570509809</v>
      </c>
      <c r="F81" s="318">
        <v>0.6513848446052346</v>
      </c>
      <c r="G81" s="318">
        <v>0.64567210784855</v>
      </c>
      <c r="H81" s="318">
        <v>0.64168647755318864</v>
      </c>
      <c r="I81" s="318">
        <v>0.64168647755318864</v>
      </c>
      <c r="J81" s="318">
        <v>0.64168647755318864</v>
      </c>
      <c r="K81" s="318">
        <v>0.64168647755318864</v>
      </c>
      <c r="L81" s="318">
        <v>0.64168647755318864</v>
      </c>
      <c r="M81" s="318">
        <v>0.64168647755318864</v>
      </c>
      <c r="N81" s="318">
        <v>0.64168647755318864</v>
      </c>
      <c r="O81" s="318">
        <v>0.64168647755318864</v>
      </c>
      <c r="P81" s="318">
        <v>0.64168647755318864</v>
      </c>
      <c r="Q81" s="318">
        <v>0.64168647755318864</v>
      </c>
      <c r="R81" s="318">
        <v>0.64168647755318864</v>
      </c>
      <c r="S81" s="318">
        <v>0.64168647755318864</v>
      </c>
      <c r="T81" s="318">
        <v>0.64168647755318864</v>
      </c>
      <c r="U81" s="318">
        <v>0.64168647755318864</v>
      </c>
    </row>
    <row r="82" spans="1:21" ht="14.4" x14ac:dyDescent="0.3">
      <c r="A82" s="43">
        <v>20</v>
      </c>
      <c r="B82" s="43"/>
      <c r="C82" s="1"/>
      <c r="D82" s="318">
        <v>2.4847736216957093E-3</v>
      </c>
      <c r="E82" s="318">
        <v>2.4633617447953251E-3</v>
      </c>
      <c r="F82" s="318">
        <v>2.4414519172693506E-3</v>
      </c>
      <c r="G82" s="318">
        <v>2.4200400403689673E-3</v>
      </c>
      <c r="H82" s="318">
        <v>2.4051015216012576E-3</v>
      </c>
      <c r="I82" s="318">
        <v>2.4051015216012576E-3</v>
      </c>
      <c r="J82" s="318">
        <v>2.4051015216012576E-3</v>
      </c>
      <c r="K82" s="318">
        <v>2.4051015216012576E-3</v>
      </c>
      <c r="L82" s="318">
        <v>2.4051015216012576E-3</v>
      </c>
      <c r="M82" s="318">
        <v>2.4051015216012576E-3</v>
      </c>
      <c r="N82" s="318">
        <v>2.4051015216012576E-3</v>
      </c>
      <c r="O82" s="318">
        <v>2.4051015216012576E-3</v>
      </c>
      <c r="P82" s="318">
        <v>2.4051015216012576E-3</v>
      </c>
      <c r="Q82" s="318">
        <v>2.4051015216012576E-3</v>
      </c>
      <c r="R82" s="318">
        <v>2.4051015216012576E-3</v>
      </c>
      <c r="S82" s="318">
        <v>2.4051015216012576E-3</v>
      </c>
      <c r="T82" s="318">
        <v>2.4051015216012576E-3</v>
      </c>
      <c r="U82" s="318">
        <v>2.4051015216012576E-3</v>
      </c>
    </row>
    <row r="83" spans="1:21" ht="14.4" x14ac:dyDescent="0.3">
      <c r="A83" s="43">
        <v>21</v>
      </c>
      <c r="B83" s="43"/>
      <c r="C83" s="1"/>
      <c r="D83" s="318">
        <v>1.1171759052434347E-3</v>
      </c>
      <c r="E83" s="318">
        <v>1.1075489385249039E-3</v>
      </c>
      <c r="F83" s="318">
        <v>1.0976980888594307E-3</v>
      </c>
      <c r="G83" s="318">
        <v>1.0880711221409004E-3</v>
      </c>
      <c r="H83" s="318">
        <v>1.0813546337326231E-3</v>
      </c>
      <c r="I83" s="318">
        <v>1.0813546337326231E-3</v>
      </c>
      <c r="J83" s="318">
        <v>1.0813546337326231E-3</v>
      </c>
      <c r="K83" s="318">
        <v>1.0813546337326231E-3</v>
      </c>
      <c r="L83" s="318">
        <v>1.0813546337326231E-3</v>
      </c>
      <c r="M83" s="318">
        <v>1.0813546337326231E-3</v>
      </c>
      <c r="N83" s="318">
        <v>1.0813546337326231E-3</v>
      </c>
      <c r="O83" s="318">
        <v>1.0813546337326231E-3</v>
      </c>
      <c r="P83" s="318">
        <v>1.0813546337326231E-3</v>
      </c>
      <c r="Q83" s="318">
        <v>1.0813546337326231E-3</v>
      </c>
      <c r="R83" s="318">
        <v>1.0813546337326231E-3</v>
      </c>
      <c r="S83" s="318">
        <v>1.0813546337326231E-3</v>
      </c>
      <c r="T83" s="318">
        <v>1.0813546337326231E-3</v>
      </c>
      <c r="U83" s="318">
        <v>1.0813546337326231E-3</v>
      </c>
    </row>
    <row r="84" spans="1:21" ht="14.4" x14ac:dyDescent="0.3">
      <c r="A84" s="43">
        <v>22</v>
      </c>
      <c r="B84" s="43"/>
      <c r="C84" s="1"/>
      <c r="D84" s="318">
        <v>3.777557927030085E-3</v>
      </c>
      <c r="E84" s="318">
        <v>3.7450058246528712E-3</v>
      </c>
      <c r="F84" s="318">
        <v>3.7116966966389787E-3</v>
      </c>
      <c r="G84" s="318">
        <v>3.6791445942617657E-3</v>
      </c>
      <c r="H84" s="318">
        <v>3.6564338251613847E-3</v>
      </c>
      <c r="I84" s="318">
        <v>3.6564338251613847E-3</v>
      </c>
      <c r="J84" s="318">
        <v>3.6564338251613847E-3</v>
      </c>
      <c r="K84" s="318">
        <v>3.6564338251613847E-3</v>
      </c>
      <c r="L84" s="318">
        <v>3.6564338251613847E-3</v>
      </c>
      <c r="M84" s="318">
        <v>3.6564338251613847E-3</v>
      </c>
      <c r="N84" s="318">
        <v>3.6564338251613847E-3</v>
      </c>
      <c r="O84" s="318">
        <v>3.6564338251613847E-3</v>
      </c>
      <c r="P84" s="318">
        <v>3.6564338251613847E-3</v>
      </c>
      <c r="Q84" s="318">
        <v>3.6564338251613847E-3</v>
      </c>
      <c r="R84" s="318">
        <v>3.6564338251613847E-3</v>
      </c>
      <c r="S84" s="318">
        <v>3.6564338251613847E-3</v>
      </c>
      <c r="T84" s="318">
        <v>3.6564338251613847E-3</v>
      </c>
      <c r="U84" s="318">
        <v>3.6564338251613847E-3</v>
      </c>
    </row>
    <row r="85" spans="1:21" ht="14.4" x14ac:dyDescent="0.3">
      <c r="A85" s="43">
        <v>23</v>
      </c>
      <c r="B85" s="43"/>
      <c r="C85" s="1"/>
      <c r="D85" s="318">
        <v>0.39578666643260285</v>
      </c>
      <c r="E85" s="318">
        <v>0.39237607992827378</v>
      </c>
      <c r="F85" s="318">
        <v>0.38888617745872778</v>
      </c>
      <c r="G85" s="318">
        <v>0.38547559095439876</v>
      </c>
      <c r="H85" s="318">
        <v>0.38309611199789012</v>
      </c>
      <c r="I85" s="318">
        <v>0.38309611199789012</v>
      </c>
      <c r="J85" s="318">
        <v>0.38309611199789012</v>
      </c>
      <c r="K85" s="318">
        <v>0.38309611199789012</v>
      </c>
      <c r="L85" s="318">
        <v>0.38309611199789012</v>
      </c>
      <c r="M85" s="318">
        <v>0.38309611199789012</v>
      </c>
      <c r="N85" s="318">
        <v>0.38309611199789012</v>
      </c>
      <c r="O85" s="318">
        <v>0.38309611199789012</v>
      </c>
      <c r="P85" s="318">
        <v>0.38309611199789012</v>
      </c>
      <c r="Q85" s="318">
        <v>0.38309611199789012</v>
      </c>
      <c r="R85" s="318">
        <v>0.38309611199789012</v>
      </c>
      <c r="S85" s="318">
        <v>0.38309611199789012</v>
      </c>
      <c r="T85" s="318">
        <v>0.38309611199789012</v>
      </c>
      <c r="U85" s="318">
        <v>0.38309611199789012</v>
      </c>
    </row>
    <row r="86" spans="1:21" ht="14.4" x14ac:dyDescent="0.3">
      <c r="A86" s="43">
        <v>24</v>
      </c>
      <c r="B86" s="43"/>
      <c r="C86" s="1"/>
      <c r="D86" s="318">
        <v>5.3285223690435811E-4</v>
      </c>
      <c r="E86" s="318">
        <v>5.282605242416552E-4</v>
      </c>
      <c r="F86" s="318">
        <v>5.2356202756354052E-4</v>
      </c>
      <c r="G86" s="318">
        <v>5.1897031490083772E-4</v>
      </c>
      <c r="H86" s="318">
        <v>5.1576679443848686E-4</v>
      </c>
      <c r="I86" s="318">
        <v>5.1576679443848686E-4</v>
      </c>
      <c r="J86" s="318">
        <v>5.1576679443848686E-4</v>
      </c>
      <c r="K86" s="318">
        <v>5.1576679443848686E-4</v>
      </c>
      <c r="L86" s="318">
        <v>5.1576679443848686E-4</v>
      </c>
      <c r="M86" s="318">
        <v>5.1576679443848686E-4</v>
      </c>
      <c r="N86" s="318">
        <v>5.1576679443848686E-4</v>
      </c>
      <c r="O86" s="318">
        <v>5.1576679443848686E-4</v>
      </c>
      <c r="P86" s="318">
        <v>5.1576679443848686E-4</v>
      </c>
      <c r="Q86" s="318">
        <v>5.1576679443848686E-4</v>
      </c>
      <c r="R86" s="318">
        <v>5.1576679443848686E-4</v>
      </c>
      <c r="S86" s="318">
        <v>5.1576679443848686E-4</v>
      </c>
      <c r="T86" s="318">
        <v>5.1576679443848686E-4</v>
      </c>
      <c r="U86" s="318">
        <v>5.1576679443848686E-4</v>
      </c>
    </row>
    <row r="87" spans="1:21" ht="14.4" x14ac:dyDescent="0.3">
      <c r="A87" s="43">
        <v>25</v>
      </c>
      <c r="B87" s="43"/>
      <c r="C87" s="1"/>
      <c r="D87" s="318">
        <v>0.31776955307117605</v>
      </c>
      <c r="E87" s="318">
        <v>0.31503125832527207</v>
      </c>
      <c r="F87" s="318">
        <v>0.31222928230620756</v>
      </c>
      <c r="G87" s="318">
        <v>0.30949098756030369</v>
      </c>
      <c r="H87" s="318">
        <v>0.30758054936548701</v>
      </c>
      <c r="I87" s="318">
        <v>0.30758054936548701</v>
      </c>
      <c r="J87" s="318">
        <v>0.30758054936548701</v>
      </c>
      <c r="K87" s="318">
        <v>0.30758054936548701</v>
      </c>
      <c r="L87" s="318">
        <v>0.30758054936548701</v>
      </c>
      <c r="M87" s="318">
        <v>0.30758054936548701</v>
      </c>
      <c r="N87" s="318">
        <v>0.30758054936548701</v>
      </c>
      <c r="O87" s="318">
        <v>0.30758054936548701</v>
      </c>
      <c r="P87" s="318">
        <v>0.30758054936548701</v>
      </c>
      <c r="Q87" s="318">
        <v>0.30758054936548701</v>
      </c>
      <c r="R87" s="318">
        <v>0.30758054936548701</v>
      </c>
      <c r="S87" s="318">
        <v>0.30758054936548701</v>
      </c>
      <c r="T87" s="318">
        <v>0.30758054936548701</v>
      </c>
      <c r="U87" s="318">
        <v>0.30758054936548701</v>
      </c>
    </row>
    <row r="88" spans="1:21" ht="14.4" x14ac:dyDescent="0.3">
      <c r="A88" s="43">
        <v>26</v>
      </c>
      <c r="B88" s="43"/>
      <c r="C88" s="1"/>
      <c r="D88" s="318">
        <v>2.730123890123639E-3</v>
      </c>
      <c r="E88" s="318">
        <v>2.7065977724331945E-3</v>
      </c>
      <c r="F88" s="318">
        <v>2.6825245357266934E-3</v>
      </c>
      <c r="G88" s="318">
        <v>2.6589984180362494E-3</v>
      </c>
      <c r="H88" s="318">
        <v>2.6425848475545442E-3</v>
      </c>
      <c r="I88" s="318">
        <v>2.6425848475545442E-3</v>
      </c>
      <c r="J88" s="318">
        <v>2.6425848475545442E-3</v>
      </c>
      <c r="K88" s="318">
        <v>2.6425848475545442E-3</v>
      </c>
      <c r="L88" s="318">
        <v>2.6425848475545442E-3</v>
      </c>
      <c r="M88" s="318">
        <v>2.6425848475545442E-3</v>
      </c>
      <c r="N88" s="318">
        <v>2.6425848475545442E-3</v>
      </c>
      <c r="O88" s="318">
        <v>2.6425848475545442E-3</v>
      </c>
      <c r="P88" s="318">
        <v>2.6425848475545442E-3</v>
      </c>
      <c r="Q88" s="318">
        <v>2.6425848475545442E-3</v>
      </c>
      <c r="R88" s="318">
        <v>2.6425848475545442E-3</v>
      </c>
      <c r="S88" s="318">
        <v>2.6425848475545442E-3</v>
      </c>
      <c r="T88" s="318">
        <v>2.6425848475545442E-3</v>
      </c>
      <c r="U88" s="318">
        <v>2.6425848475545442E-3</v>
      </c>
    </row>
    <row r="89" spans="1:21" ht="14.4" x14ac:dyDescent="0.3">
      <c r="A89" s="43">
        <v>27</v>
      </c>
      <c r="B89" s="43"/>
      <c r="C89" s="1"/>
      <c r="D89" s="318">
        <v>1.0483219422451294E-3</v>
      </c>
      <c r="E89" s="318">
        <v>1.0392883062698705E-3</v>
      </c>
      <c r="F89" s="318">
        <v>1.0300445857370478E-3</v>
      </c>
      <c r="G89" s="318">
        <v>1.0210109497617893E-3</v>
      </c>
      <c r="H89" s="318">
        <v>1.0147084130348648E-3</v>
      </c>
      <c r="I89" s="318">
        <v>1.0147084130348648E-3</v>
      </c>
      <c r="J89" s="318">
        <v>1.0147084130348648E-3</v>
      </c>
      <c r="K89" s="318">
        <v>1.0147084130348648E-3</v>
      </c>
      <c r="L89" s="318">
        <v>1.0147084130348648E-3</v>
      </c>
      <c r="M89" s="318">
        <v>1.0147084130348648E-3</v>
      </c>
      <c r="N89" s="318">
        <v>1.0147084130348648E-3</v>
      </c>
      <c r="O89" s="318">
        <v>1.0147084130348648E-3</v>
      </c>
      <c r="P89" s="318">
        <v>1.0147084130348648E-3</v>
      </c>
      <c r="Q89" s="318">
        <v>1.0147084130348648E-3</v>
      </c>
      <c r="R89" s="318">
        <v>1.0147084130348648E-3</v>
      </c>
      <c r="S89" s="318">
        <v>1.0147084130348648E-3</v>
      </c>
      <c r="T89" s="318">
        <v>1.0147084130348648E-3</v>
      </c>
      <c r="U89" s="318">
        <v>1.0147084130348648E-3</v>
      </c>
    </row>
    <row r="90" spans="1:21" ht="14.4" x14ac:dyDescent="0.3">
      <c r="A90" s="43">
        <v>28</v>
      </c>
      <c r="B90" s="43"/>
      <c r="C90" s="1"/>
      <c r="D90" s="318">
        <v>1.6713228686753869E-3</v>
      </c>
      <c r="E90" s="318">
        <v>1.656920687642713E-3</v>
      </c>
      <c r="F90" s="318">
        <v>1.6421835721674189E-3</v>
      </c>
      <c r="G90" s="318">
        <v>1.6277813911347455E-3</v>
      </c>
      <c r="H90" s="318">
        <v>1.6177333578561359E-3</v>
      </c>
      <c r="I90" s="318">
        <v>1.6177333578561359E-3</v>
      </c>
      <c r="J90" s="318">
        <v>1.6177333578561359E-3</v>
      </c>
      <c r="K90" s="318">
        <v>1.6177333578561359E-3</v>
      </c>
      <c r="L90" s="318">
        <v>1.6177333578561359E-3</v>
      </c>
      <c r="M90" s="318">
        <v>1.6177333578561359E-3</v>
      </c>
      <c r="N90" s="318">
        <v>1.6177333578561359E-3</v>
      </c>
      <c r="O90" s="318">
        <v>1.6177333578561359E-3</v>
      </c>
      <c r="P90" s="318">
        <v>1.6177333578561359E-3</v>
      </c>
      <c r="Q90" s="318">
        <v>1.6177333578561359E-3</v>
      </c>
      <c r="R90" s="318">
        <v>1.6177333578561359E-3</v>
      </c>
      <c r="S90" s="318">
        <v>1.6177333578561359E-3</v>
      </c>
      <c r="T90" s="318">
        <v>1.6177333578561359E-3</v>
      </c>
      <c r="U90" s="318">
        <v>1.6177333578561359E-3</v>
      </c>
    </row>
    <row r="91" spans="1:21" ht="14.4" x14ac:dyDescent="0.3">
      <c r="A91" s="43">
        <v>29</v>
      </c>
      <c r="B91" s="43"/>
      <c r="C91" s="1"/>
      <c r="D91" s="318">
        <v>0.28662223900981759</v>
      </c>
      <c r="E91" s="318">
        <v>0.28415234797225802</v>
      </c>
      <c r="F91" s="318">
        <v>0.28162501760824354</v>
      </c>
      <c r="G91" s="318">
        <v>0.27915512657068403</v>
      </c>
      <c r="H91" s="318">
        <v>0.27743194677703786</v>
      </c>
      <c r="I91" s="318">
        <v>0.27743194677703786</v>
      </c>
      <c r="J91" s="318">
        <v>0.27743194677703786</v>
      </c>
      <c r="K91" s="318">
        <v>0.27743194677703786</v>
      </c>
      <c r="L91" s="318">
        <v>0.27743194677703786</v>
      </c>
      <c r="M91" s="318">
        <v>0.27743194677703786</v>
      </c>
      <c r="N91" s="318">
        <v>0.27743194677703786</v>
      </c>
      <c r="O91" s="318">
        <v>0.27743194677703786</v>
      </c>
      <c r="P91" s="318">
        <v>0.27743194677703786</v>
      </c>
      <c r="Q91" s="318">
        <v>0.27743194677703786</v>
      </c>
      <c r="R91" s="318">
        <v>0.27743194677703786</v>
      </c>
      <c r="S91" s="318">
        <v>0.27743194677703786</v>
      </c>
      <c r="T91" s="318">
        <v>0.27743194677703786</v>
      </c>
      <c r="U91" s="318">
        <v>0.27743194677703786</v>
      </c>
    </row>
    <row r="92" spans="1:21" ht="14.4" x14ac:dyDescent="0.3">
      <c r="A92" s="43">
        <v>30</v>
      </c>
      <c r="B92" s="43"/>
      <c r="C92" s="1"/>
      <c r="D92" s="318">
        <v>8.285496296213758E-4</v>
      </c>
      <c r="E92" s="318">
        <v>8.2140982319377676E-4</v>
      </c>
      <c r="F92" s="318">
        <v>8.1410397475623346E-4</v>
      </c>
      <c r="G92" s="318">
        <v>8.0696416832863453E-4</v>
      </c>
      <c r="H92" s="318">
        <v>8.0198290803030971E-4</v>
      </c>
      <c r="I92" s="318">
        <v>8.0198290803030971E-4</v>
      </c>
      <c r="J92" s="318">
        <v>8.0198290803030971E-4</v>
      </c>
      <c r="K92" s="318">
        <v>8.0198290803030971E-4</v>
      </c>
      <c r="L92" s="318">
        <v>8.0198290803030971E-4</v>
      </c>
      <c r="M92" s="318">
        <v>8.0198290803030971E-4</v>
      </c>
      <c r="N92" s="318">
        <v>8.0198290803030971E-4</v>
      </c>
      <c r="O92" s="318">
        <v>8.0198290803030971E-4</v>
      </c>
      <c r="P92" s="318">
        <v>8.0198290803030971E-4</v>
      </c>
      <c r="Q92" s="318">
        <v>8.0198290803030971E-4</v>
      </c>
      <c r="R92" s="318">
        <v>8.0198290803030971E-4</v>
      </c>
      <c r="S92" s="318">
        <v>8.0198290803030971E-4</v>
      </c>
      <c r="T92" s="318">
        <v>8.0198290803030971E-4</v>
      </c>
      <c r="U92" s="318">
        <v>8.0198290803030971E-4</v>
      </c>
    </row>
    <row r="93" spans="1:21" ht="14.4" x14ac:dyDescent="0.3">
      <c r="A93" s="43">
        <v>31</v>
      </c>
      <c r="B93" s="43"/>
      <c r="C93" s="1"/>
      <c r="D93" s="318">
        <v>0.23581489486773383</v>
      </c>
      <c r="E93" s="318">
        <v>0.23378282262739061</v>
      </c>
      <c r="F93" s="318">
        <v>0.23170349289308592</v>
      </c>
      <c r="G93" s="318">
        <v>0.22967142065274276</v>
      </c>
      <c r="H93" s="318">
        <v>0.22825369583389868</v>
      </c>
      <c r="I93" s="318">
        <v>0.22825369583389868</v>
      </c>
      <c r="J93" s="318">
        <v>0.22825369583389868</v>
      </c>
      <c r="K93" s="318">
        <v>0.22825369583389868</v>
      </c>
      <c r="L93" s="318">
        <v>0.22825369583389868</v>
      </c>
      <c r="M93" s="318">
        <v>0.22825369583389868</v>
      </c>
      <c r="N93" s="318">
        <v>0.22825369583389868</v>
      </c>
      <c r="O93" s="318">
        <v>0.22825369583389868</v>
      </c>
      <c r="P93" s="318">
        <v>0.22825369583389868</v>
      </c>
      <c r="Q93" s="318">
        <v>0.22825369583389868</v>
      </c>
      <c r="R93" s="318">
        <v>0.22825369583389868</v>
      </c>
      <c r="S93" s="318">
        <v>0.22825369583389868</v>
      </c>
      <c r="T93" s="318">
        <v>0.22825369583389868</v>
      </c>
      <c r="U93" s="318">
        <v>0.22825369583389868</v>
      </c>
    </row>
    <row r="94" spans="1:21" ht="14.4" x14ac:dyDescent="0.3">
      <c r="A94" s="43">
        <v>32</v>
      </c>
      <c r="B94" s="43"/>
      <c r="C94" s="1"/>
      <c r="D94" s="318">
        <v>2.7919226840816386E-3</v>
      </c>
      <c r="E94" s="318">
        <v>2.7678640316937601E-3</v>
      </c>
      <c r="F94" s="318">
        <v>2.7432458757619782E-3</v>
      </c>
      <c r="G94" s="318">
        <v>2.7191872233741005E-3</v>
      </c>
      <c r="H94" s="318">
        <v>2.7024021170569765E-3</v>
      </c>
      <c r="I94" s="318">
        <v>2.7024021170569765E-3</v>
      </c>
      <c r="J94" s="318">
        <v>2.7024021170569765E-3</v>
      </c>
      <c r="K94" s="318">
        <v>2.7024021170569765E-3</v>
      </c>
      <c r="L94" s="318">
        <v>2.7024021170569765E-3</v>
      </c>
      <c r="M94" s="318">
        <v>2.7024021170569765E-3</v>
      </c>
      <c r="N94" s="318">
        <v>2.7024021170569765E-3</v>
      </c>
      <c r="O94" s="318">
        <v>2.7024021170569765E-3</v>
      </c>
      <c r="P94" s="318">
        <v>2.7024021170569765E-3</v>
      </c>
      <c r="Q94" s="318">
        <v>2.7024021170569765E-3</v>
      </c>
      <c r="R94" s="318">
        <v>2.7024021170569765E-3</v>
      </c>
      <c r="S94" s="318">
        <v>2.7024021170569765E-3</v>
      </c>
      <c r="T94" s="318">
        <v>2.7024021170569765E-3</v>
      </c>
      <c r="U94" s="318">
        <v>2.7024021170569765E-3</v>
      </c>
    </row>
    <row r="95" spans="1:21" ht="14.4" x14ac:dyDescent="0.3">
      <c r="A95" s="43">
        <v>33</v>
      </c>
      <c r="B95" s="43"/>
      <c r="C95" s="1"/>
      <c r="D95" s="318">
        <v>2.46052719314709E-4</v>
      </c>
      <c r="E95" s="318">
        <v>2.4393242534065439E-4</v>
      </c>
      <c r="F95" s="318">
        <v>2.4176282220441246E-4</v>
      </c>
      <c r="G95" s="318">
        <v>2.3964252823035787E-4</v>
      </c>
      <c r="H95" s="318">
        <v>2.381632533647384E-4</v>
      </c>
      <c r="I95" s="318">
        <v>2.381632533647384E-4</v>
      </c>
      <c r="J95" s="318">
        <v>2.381632533647384E-4</v>
      </c>
      <c r="K95" s="318">
        <v>2.381632533647384E-4</v>
      </c>
      <c r="L95" s="318">
        <v>2.381632533647384E-4</v>
      </c>
      <c r="M95" s="318">
        <v>2.381632533647384E-4</v>
      </c>
      <c r="N95" s="318">
        <v>2.381632533647384E-4</v>
      </c>
      <c r="O95" s="318">
        <v>2.381632533647384E-4</v>
      </c>
      <c r="P95" s="318">
        <v>2.381632533647384E-4</v>
      </c>
      <c r="Q95" s="318">
        <v>2.381632533647384E-4</v>
      </c>
      <c r="R95" s="318">
        <v>2.381632533647384E-4</v>
      </c>
      <c r="S95" s="318">
        <v>2.381632533647384E-4</v>
      </c>
      <c r="T95" s="318">
        <v>2.381632533647384E-4</v>
      </c>
      <c r="U95" s="318">
        <v>2.381632533647384E-4</v>
      </c>
    </row>
    <row r="96" spans="1:21" ht="14.4" x14ac:dyDescent="0.3">
      <c r="A96" s="43">
        <v>34</v>
      </c>
      <c r="B96" s="43"/>
      <c r="C96"/>
      <c r="D96" s="318">
        <v>2.7595054084989341E-3</v>
      </c>
      <c r="E96" s="318">
        <v>2.7357261033755962E-3</v>
      </c>
      <c r="F96" s="318">
        <v>2.7113937911563669E-3</v>
      </c>
      <c r="G96" s="318">
        <v>2.6876144860330299E-3</v>
      </c>
      <c r="H96" s="318">
        <v>2.6710242731562829E-3</v>
      </c>
      <c r="I96" s="318">
        <v>2.6710242731562829E-3</v>
      </c>
      <c r="J96" s="318">
        <v>2.6710242731562829E-3</v>
      </c>
      <c r="K96" s="318">
        <v>2.6710242731562829E-3</v>
      </c>
      <c r="L96" s="318">
        <v>2.6710242731562829E-3</v>
      </c>
      <c r="M96" s="318">
        <v>2.6710242731562829E-3</v>
      </c>
      <c r="N96" s="318">
        <v>2.6710242731562829E-3</v>
      </c>
      <c r="O96" s="318">
        <v>2.6710242731562829E-3</v>
      </c>
      <c r="P96" s="318">
        <v>2.6710242731562829E-3</v>
      </c>
      <c r="Q96" s="318">
        <v>2.6710242731562829E-3</v>
      </c>
      <c r="R96" s="318">
        <v>2.6710242731562829E-3</v>
      </c>
      <c r="S96" s="318">
        <v>2.6710242731562829E-3</v>
      </c>
      <c r="T96" s="318">
        <v>2.6710242731562829E-3</v>
      </c>
      <c r="U96" s="318">
        <v>2.6710242731562829E-3</v>
      </c>
    </row>
    <row r="97" spans="1:21" ht="14.4" x14ac:dyDescent="0.3">
      <c r="A97" s="43">
        <v>35</v>
      </c>
      <c r="B97" s="43"/>
      <c r="C97" s="1"/>
      <c r="D97" s="318">
        <v>0.17683135878704348</v>
      </c>
      <c r="E97" s="318">
        <v>0.17530756150691462</v>
      </c>
      <c r="F97" s="318">
        <v>0.17374832708073629</v>
      </c>
      <c r="G97" s="318">
        <v>0.17222452980060746</v>
      </c>
      <c r="H97" s="318">
        <v>0.17116141541912225</v>
      </c>
      <c r="I97" s="318">
        <v>0.17116141541912225</v>
      </c>
      <c r="J97" s="318">
        <v>0.17116141541912225</v>
      </c>
      <c r="K97" s="318">
        <v>0.17116141541912225</v>
      </c>
      <c r="L97" s="318">
        <v>0.17116141541912225</v>
      </c>
      <c r="M97" s="318">
        <v>0.17116141541912225</v>
      </c>
      <c r="N97" s="318">
        <v>0.17116141541912225</v>
      </c>
      <c r="O97" s="318">
        <v>0.17116141541912225</v>
      </c>
      <c r="P97" s="318">
        <v>0.17116141541912225</v>
      </c>
      <c r="Q97" s="318">
        <v>0.17116141541912225</v>
      </c>
      <c r="R97" s="318">
        <v>0.17116141541912225</v>
      </c>
      <c r="S97" s="318">
        <v>0.17116141541912225</v>
      </c>
      <c r="T97" s="318">
        <v>0.17116141541912225</v>
      </c>
      <c r="U97" s="318">
        <v>0.17116141541912225</v>
      </c>
    </row>
    <row r="98" spans="1:21" ht="14.4" x14ac:dyDescent="0.3">
      <c r="A98" s="43">
        <v>36</v>
      </c>
      <c r="B98" s="43"/>
      <c r="C98"/>
      <c r="D98" s="318">
        <v>6.3098340187504919E-4</v>
      </c>
      <c r="E98" s="318">
        <v>6.2554606995508376E-4</v>
      </c>
      <c r="F98" s="318">
        <v>6.1998228845558433E-4</v>
      </c>
      <c r="G98" s="318">
        <v>6.1454495653561901E-4</v>
      </c>
      <c r="H98" s="318">
        <v>6.1075146914959676E-4</v>
      </c>
      <c r="I98" s="318">
        <v>6.1075146914959676E-4</v>
      </c>
      <c r="J98" s="318">
        <v>6.1075146914959676E-4</v>
      </c>
      <c r="K98" s="318">
        <v>6.1075146914959676E-4</v>
      </c>
      <c r="L98" s="318">
        <v>6.1075146914959676E-4</v>
      </c>
      <c r="M98" s="318">
        <v>6.1075146914959676E-4</v>
      </c>
      <c r="N98" s="318">
        <v>6.1075146914959676E-4</v>
      </c>
      <c r="O98" s="318">
        <v>6.1075146914959676E-4</v>
      </c>
      <c r="P98" s="318">
        <v>6.1075146914959676E-4</v>
      </c>
      <c r="Q98" s="318">
        <v>6.1075146914959676E-4</v>
      </c>
      <c r="R98" s="318">
        <v>6.1075146914959676E-4</v>
      </c>
      <c r="S98" s="318">
        <v>6.1075146914959676E-4</v>
      </c>
      <c r="T98" s="318">
        <v>6.1075146914959676E-4</v>
      </c>
      <c r="U98" s="318">
        <v>6.1075146914959676E-4</v>
      </c>
    </row>
    <row r="99" spans="1:21" ht="14.4" x14ac:dyDescent="0.3">
      <c r="A99" s="43">
        <v>37</v>
      </c>
      <c r="B99" s="43"/>
      <c r="C99" s="1"/>
      <c r="D99" s="318">
        <v>0.1702634207871582</v>
      </c>
      <c r="E99" s="318">
        <v>0.16879622096875183</v>
      </c>
      <c r="F99" s="318">
        <v>0.16729490022433599</v>
      </c>
      <c r="G99" s="318">
        <v>0.16582770040592965</v>
      </c>
      <c r="H99" s="318">
        <v>0.16480407262564611</v>
      </c>
      <c r="I99" s="318">
        <v>0.16480407262564611</v>
      </c>
      <c r="J99" s="318">
        <v>0.16480407262564611</v>
      </c>
      <c r="K99" s="318">
        <v>0.16480407262564611</v>
      </c>
      <c r="L99" s="318">
        <v>0.16480407262564611</v>
      </c>
      <c r="M99" s="318">
        <v>0.16480407262564611</v>
      </c>
      <c r="N99" s="318">
        <v>0.16480407262564611</v>
      </c>
      <c r="O99" s="318">
        <v>0.16480407262564611</v>
      </c>
      <c r="P99" s="318">
        <v>0.16480407262564611</v>
      </c>
      <c r="Q99" s="318">
        <v>0.16480407262564611</v>
      </c>
      <c r="R99" s="318">
        <v>0.16480407262564611</v>
      </c>
      <c r="S99" s="318">
        <v>0.16480407262564611</v>
      </c>
      <c r="T99" s="318">
        <v>0.16480407262564611</v>
      </c>
      <c r="U99" s="318">
        <v>0.16480407262564611</v>
      </c>
    </row>
    <row r="100" spans="1:21" ht="14.4" x14ac:dyDescent="0.3">
      <c r="A100" s="43">
        <v>38</v>
      </c>
      <c r="B100" s="43"/>
      <c r="C100"/>
      <c r="D100" s="318">
        <v>1.1703704137204639E-3</v>
      </c>
      <c r="E100" s="318">
        <v>1.1602850574499268E-3</v>
      </c>
      <c r="F100" s="318">
        <v>1.1499651580103075E-3</v>
      </c>
      <c r="G100" s="318">
        <v>1.1398798017397706E-3</v>
      </c>
      <c r="H100" s="318">
        <v>1.1328435066673029E-3</v>
      </c>
      <c r="I100" s="318">
        <v>1.1328435066673029E-3</v>
      </c>
      <c r="J100" s="318">
        <v>1.1328435066673029E-3</v>
      </c>
      <c r="K100" s="318">
        <v>1.1328435066673029E-3</v>
      </c>
      <c r="L100" s="318">
        <v>1.1328435066673029E-3</v>
      </c>
      <c r="M100" s="318">
        <v>1.1328435066673029E-3</v>
      </c>
      <c r="N100" s="318">
        <v>1.1328435066673029E-3</v>
      </c>
      <c r="O100" s="318">
        <v>1.1328435066673029E-3</v>
      </c>
      <c r="P100" s="318">
        <v>1.1328435066673029E-3</v>
      </c>
      <c r="Q100" s="318">
        <v>1.1328435066673029E-3</v>
      </c>
      <c r="R100" s="318">
        <v>1.1328435066673029E-3</v>
      </c>
      <c r="S100" s="318">
        <v>1.1328435066673029E-3</v>
      </c>
      <c r="T100" s="318">
        <v>1.1328435066673029E-3</v>
      </c>
      <c r="U100" s="318">
        <v>1.1328435066673029E-3</v>
      </c>
    </row>
    <row r="101" spans="1:21" ht="14.4" x14ac:dyDescent="0.3">
      <c r="A101" s="43">
        <v>39</v>
      </c>
      <c r="B101" s="43"/>
      <c r="C101" s="1"/>
      <c r="D101" s="318">
        <v>6.6428961820331556E-4</v>
      </c>
      <c r="E101" s="318">
        <v>6.5856527880797633E-4</v>
      </c>
      <c r="F101" s="318">
        <v>6.5270781524065242E-4</v>
      </c>
      <c r="G101" s="318">
        <v>6.4698347584531341E-4</v>
      </c>
      <c r="H101" s="318">
        <v>6.4298975068577445E-4</v>
      </c>
      <c r="I101" s="318">
        <v>6.4298975068577445E-4</v>
      </c>
      <c r="J101" s="318">
        <v>6.4298975068577445E-4</v>
      </c>
      <c r="K101" s="318">
        <v>6.4298975068577445E-4</v>
      </c>
      <c r="L101" s="318">
        <v>6.4298975068577445E-4</v>
      </c>
      <c r="M101" s="318">
        <v>6.4298975068577445E-4</v>
      </c>
      <c r="N101" s="318">
        <v>6.4298975068577445E-4</v>
      </c>
      <c r="O101" s="318">
        <v>6.4298975068577445E-4</v>
      </c>
      <c r="P101" s="318">
        <v>6.4298975068577445E-4</v>
      </c>
      <c r="Q101" s="318">
        <v>6.4298975068577445E-4</v>
      </c>
      <c r="R101" s="318">
        <v>6.4298975068577445E-4</v>
      </c>
      <c r="S101" s="318">
        <v>6.4298975068577445E-4</v>
      </c>
      <c r="T101" s="318">
        <v>6.4298975068577445E-4</v>
      </c>
      <c r="U101" s="318">
        <v>6.4298975068577445E-4</v>
      </c>
    </row>
    <row r="102" spans="1:21" ht="14.4" x14ac:dyDescent="0.3">
      <c r="A102" s="43">
        <v>40</v>
      </c>
      <c r="B102" s="43"/>
      <c r="C102"/>
      <c r="D102" s="318">
        <v>1.5808064481076536E-3</v>
      </c>
      <c r="E102" s="318">
        <v>1.5671842682943007E-3</v>
      </c>
      <c r="F102" s="318">
        <v>1.5532452936015679E-3</v>
      </c>
      <c r="G102" s="318">
        <v>1.5396231137882156E-3</v>
      </c>
      <c r="H102" s="318">
        <v>1.5301192674068069E-3</v>
      </c>
      <c r="I102" s="318">
        <v>1.5301192674068069E-3</v>
      </c>
      <c r="J102" s="318">
        <v>1.5301192674068069E-3</v>
      </c>
      <c r="K102" s="318">
        <v>1.5301192674068069E-3</v>
      </c>
      <c r="L102" s="318">
        <v>1.5301192674068069E-3</v>
      </c>
      <c r="M102" s="318">
        <v>1.5301192674068069E-3</v>
      </c>
      <c r="N102" s="318">
        <v>1.5301192674068069E-3</v>
      </c>
      <c r="O102" s="318">
        <v>1.5301192674068069E-3</v>
      </c>
      <c r="P102" s="318">
        <v>1.5301192674068069E-3</v>
      </c>
      <c r="Q102" s="318">
        <v>1.5301192674068069E-3</v>
      </c>
      <c r="R102" s="318">
        <v>1.5301192674068069E-3</v>
      </c>
      <c r="S102" s="318">
        <v>1.5301192674068069E-3</v>
      </c>
      <c r="T102" s="318">
        <v>1.5301192674068069E-3</v>
      </c>
      <c r="U102" s="318">
        <v>1.5301192674068069E-3</v>
      </c>
    </row>
    <row r="103" spans="1:21" ht="14.4" x14ac:dyDescent="0.3">
      <c r="A103" s="43">
        <v>41</v>
      </c>
      <c r="B103" s="43"/>
      <c r="C103" s="1"/>
      <c r="D103" s="318">
        <v>0.12689902611613454</v>
      </c>
      <c r="E103" s="318">
        <v>0.12580550745421193</v>
      </c>
      <c r="F103" s="318">
        <v>0.124686558125733</v>
      </c>
      <c r="G103" s="318">
        <v>0.12359303946381041</v>
      </c>
      <c r="H103" s="318">
        <v>0.12283011946712022</v>
      </c>
      <c r="I103" s="318">
        <v>0.12283011946712022</v>
      </c>
      <c r="J103" s="318">
        <v>0.12283011946712022</v>
      </c>
      <c r="K103" s="318">
        <v>0.12283011946712022</v>
      </c>
      <c r="L103" s="318">
        <v>0.12283011946712022</v>
      </c>
      <c r="M103" s="318">
        <v>0.12283011946712022</v>
      </c>
      <c r="N103" s="318">
        <v>0.12283011946712022</v>
      </c>
      <c r="O103" s="318">
        <v>0.12283011946712022</v>
      </c>
      <c r="P103" s="318">
        <v>0.12283011946712022</v>
      </c>
      <c r="Q103" s="318">
        <v>0.12283011946712022</v>
      </c>
      <c r="R103" s="318">
        <v>0.12283011946712022</v>
      </c>
      <c r="S103" s="318">
        <v>0.12283011946712022</v>
      </c>
      <c r="T103" s="318">
        <v>0.12283011946712022</v>
      </c>
      <c r="U103" s="318">
        <v>0.12283011946712022</v>
      </c>
    </row>
    <row r="104" spans="1:21" ht="14.4" x14ac:dyDescent="0.3">
      <c r="A104" s="43">
        <v>42</v>
      </c>
      <c r="B104" s="43"/>
      <c r="C104"/>
      <c r="D104" s="318">
        <v>2.4095366497059592E-4</v>
      </c>
      <c r="E104" s="318">
        <v>2.3887731074339436E-4</v>
      </c>
      <c r="F104" s="318">
        <v>2.3675266920858347E-4</v>
      </c>
      <c r="G104" s="318">
        <v>2.3467631498138197E-4</v>
      </c>
      <c r="H104" s="318">
        <v>2.3322769575310185E-4</v>
      </c>
      <c r="I104" s="318">
        <v>2.3322769575310185E-4</v>
      </c>
      <c r="J104" s="318">
        <v>2.3322769575310185E-4</v>
      </c>
      <c r="K104" s="318">
        <v>2.3322769575310185E-4</v>
      </c>
      <c r="L104" s="318">
        <v>2.3322769575310185E-4</v>
      </c>
      <c r="M104" s="318">
        <v>2.3322769575310185E-4</v>
      </c>
      <c r="N104" s="318">
        <v>2.3322769575310185E-4</v>
      </c>
      <c r="O104" s="318">
        <v>2.3322769575310185E-4</v>
      </c>
      <c r="P104" s="318">
        <v>2.3322769575310185E-4</v>
      </c>
      <c r="Q104" s="318">
        <v>2.3322769575310185E-4</v>
      </c>
      <c r="R104" s="318">
        <v>2.3322769575310185E-4</v>
      </c>
      <c r="S104" s="318">
        <v>2.3322769575310185E-4</v>
      </c>
      <c r="T104" s="318">
        <v>2.3322769575310185E-4</v>
      </c>
      <c r="U104" s="318">
        <v>2.3322769575310185E-4</v>
      </c>
    </row>
    <row r="105" spans="1:21" ht="14.4" x14ac:dyDescent="0.3">
      <c r="A105" s="43">
        <v>43</v>
      </c>
      <c r="B105" s="43"/>
      <c r="C105" s="1"/>
      <c r="D105" s="318">
        <v>0.1128807414715028</v>
      </c>
      <c r="E105" s="318">
        <v>0.1119080216552153</v>
      </c>
      <c r="F105" s="318">
        <v>0.11091268044785134</v>
      </c>
      <c r="G105" s="318">
        <v>0.10993996063156386</v>
      </c>
      <c r="H105" s="318">
        <v>0.10926131889927025</v>
      </c>
      <c r="I105" s="318">
        <v>0.10926131889927025</v>
      </c>
      <c r="J105" s="318">
        <v>0.10926131889927025</v>
      </c>
      <c r="K105" s="318">
        <v>0.10926131889927025</v>
      </c>
      <c r="L105" s="318">
        <v>0.10926131889927025</v>
      </c>
      <c r="M105" s="318">
        <v>0.10926131889927025</v>
      </c>
      <c r="N105" s="318">
        <v>0.10926131889927025</v>
      </c>
      <c r="O105" s="318">
        <v>0.10926131889927025</v>
      </c>
      <c r="P105" s="318">
        <v>0.10926131889927025</v>
      </c>
      <c r="Q105" s="318">
        <v>0.10926131889927025</v>
      </c>
      <c r="R105" s="318">
        <v>0.10926131889927025</v>
      </c>
      <c r="S105" s="318">
        <v>0.10926131889927025</v>
      </c>
      <c r="T105" s="318">
        <v>0.10926131889927025</v>
      </c>
      <c r="U105" s="318">
        <v>0.10926131889927025</v>
      </c>
    </row>
    <row r="106" spans="1:21" ht="14.4" x14ac:dyDescent="0.3">
      <c r="A106" s="43">
        <v>44</v>
      </c>
      <c r="B106" s="43"/>
      <c r="C106"/>
      <c r="D106" s="318">
        <v>1.8562243124160176E-3</v>
      </c>
      <c r="E106" s="318">
        <v>1.8402287922889857E-3</v>
      </c>
      <c r="F106" s="318">
        <v>1.8238612833217903E-3</v>
      </c>
      <c r="G106" s="318">
        <v>1.8078657631947586E-3</v>
      </c>
      <c r="H106" s="318">
        <v>1.7967060979898527E-3</v>
      </c>
      <c r="I106" s="318">
        <v>1.7967060979898527E-3</v>
      </c>
      <c r="J106" s="318">
        <v>1.7967060979898527E-3</v>
      </c>
      <c r="K106" s="318">
        <v>1.7967060979898527E-3</v>
      </c>
      <c r="L106" s="318">
        <v>1.7967060979898527E-3</v>
      </c>
      <c r="M106" s="318">
        <v>1.7967060979898527E-3</v>
      </c>
      <c r="N106" s="318">
        <v>1.7967060979898527E-3</v>
      </c>
      <c r="O106" s="318">
        <v>1.7967060979898527E-3</v>
      </c>
      <c r="P106" s="318">
        <v>1.7967060979898527E-3</v>
      </c>
      <c r="Q106" s="318">
        <v>1.7967060979898527E-3</v>
      </c>
      <c r="R106" s="318">
        <v>1.7967060979898527E-3</v>
      </c>
      <c r="S106" s="318">
        <v>1.7967060979898527E-3</v>
      </c>
      <c r="T106" s="318">
        <v>1.7967060979898527E-3</v>
      </c>
      <c r="U106" s="318">
        <v>1.7967060979898527E-3</v>
      </c>
    </row>
    <row r="107" spans="1:21" ht="14.4" x14ac:dyDescent="0.3">
      <c r="A107" s="43">
        <v>45</v>
      </c>
      <c r="B107" s="43"/>
      <c r="C107" s="1"/>
      <c r="D107" s="318">
        <v>3.5345677459194163E-4</v>
      </c>
      <c r="E107" s="318">
        <v>3.5041095469064831E-4</v>
      </c>
      <c r="F107" s="318">
        <v>3.4729430176839467E-4</v>
      </c>
      <c r="G107" s="318">
        <v>3.4424848186710147E-4</v>
      </c>
      <c r="H107" s="318">
        <v>3.4212349123829218E-4</v>
      </c>
      <c r="I107" s="318">
        <v>3.4212349123829218E-4</v>
      </c>
      <c r="J107" s="318">
        <v>3.4212349123829218E-4</v>
      </c>
      <c r="K107" s="318">
        <v>3.4212349123829218E-4</v>
      </c>
      <c r="L107" s="318">
        <v>3.4212349123829218E-4</v>
      </c>
      <c r="M107" s="318">
        <v>3.4212349123829218E-4</v>
      </c>
      <c r="N107" s="318">
        <v>3.4212349123829218E-4</v>
      </c>
      <c r="O107" s="318">
        <v>3.4212349123829218E-4</v>
      </c>
      <c r="P107" s="318">
        <v>3.4212349123829218E-4</v>
      </c>
      <c r="Q107" s="318">
        <v>3.4212349123829218E-4</v>
      </c>
      <c r="R107" s="318">
        <v>3.4212349123829218E-4</v>
      </c>
      <c r="S107" s="318">
        <v>3.4212349123829218E-4</v>
      </c>
      <c r="T107" s="318">
        <v>3.4212349123829218E-4</v>
      </c>
      <c r="U107" s="318">
        <v>3.4212349123829218E-4</v>
      </c>
    </row>
    <row r="108" spans="1:21" ht="14.4" x14ac:dyDescent="0.3">
      <c r="A108" s="43">
        <v>46</v>
      </c>
      <c r="B108" s="43"/>
      <c r="C108"/>
      <c r="D108" s="318">
        <v>1.4179687765222223E-3</v>
      </c>
      <c r="E108" s="318">
        <v>1.4057498071052973E-3</v>
      </c>
      <c r="F108" s="318">
        <v>1.3932466756089088E-3</v>
      </c>
      <c r="G108" s="318">
        <v>1.381027706191984E-3</v>
      </c>
      <c r="H108" s="318">
        <v>1.3725028438080829E-3</v>
      </c>
      <c r="I108" s="318">
        <v>1.3725028438080829E-3</v>
      </c>
      <c r="J108" s="318">
        <v>1.3725028438080829E-3</v>
      </c>
      <c r="K108" s="318">
        <v>1.3725028438080829E-3</v>
      </c>
      <c r="L108" s="318">
        <v>1.3725028438080829E-3</v>
      </c>
      <c r="M108" s="318">
        <v>1.3725028438080829E-3</v>
      </c>
      <c r="N108" s="318">
        <v>1.3725028438080829E-3</v>
      </c>
      <c r="O108" s="318">
        <v>1.3725028438080829E-3</v>
      </c>
      <c r="P108" s="318">
        <v>1.3725028438080829E-3</v>
      </c>
      <c r="Q108" s="318">
        <v>1.3725028438080829E-3</v>
      </c>
      <c r="R108" s="318">
        <v>1.3725028438080829E-3</v>
      </c>
      <c r="S108" s="318">
        <v>1.3725028438080829E-3</v>
      </c>
      <c r="T108" s="318">
        <v>1.3725028438080829E-3</v>
      </c>
      <c r="U108" s="318">
        <v>1.3725028438080829E-3</v>
      </c>
    </row>
    <row r="109" spans="1:21" ht="14.4" x14ac:dyDescent="0.3">
      <c r="A109" s="43">
        <v>47</v>
      </c>
      <c r="B109" s="43"/>
      <c r="C109" s="1"/>
      <c r="D109" s="318">
        <v>0.10627143062294452</v>
      </c>
      <c r="E109" s="318">
        <v>0.10535566478791714</v>
      </c>
      <c r="F109" s="318">
        <v>0.10441860207300539</v>
      </c>
      <c r="G109" s="318">
        <v>0.10350283623797803</v>
      </c>
      <c r="H109" s="318">
        <v>0.10286392984144729</v>
      </c>
      <c r="I109" s="318">
        <v>0.10286392984144729</v>
      </c>
      <c r="J109" s="318">
        <v>0.10286392984144729</v>
      </c>
      <c r="K109" s="318">
        <v>0.10286392984144729</v>
      </c>
      <c r="L109" s="318">
        <v>0.10286392984144729</v>
      </c>
      <c r="M109" s="318">
        <v>0.10286392984144729</v>
      </c>
      <c r="N109" s="318">
        <v>0.10286392984144729</v>
      </c>
      <c r="O109" s="318">
        <v>0.10286392984144729</v>
      </c>
      <c r="P109" s="318">
        <v>0.10286392984144729</v>
      </c>
      <c r="Q109" s="318">
        <v>0.10286392984144729</v>
      </c>
      <c r="R109" s="318">
        <v>0.10286392984144729</v>
      </c>
      <c r="S109" s="318">
        <v>0.10286392984144729</v>
      </c>
      <c r="T109" s="318">
        <v>0.10286392984144729</v>
      </c>
      <c r="U109" s="318">
        <v>0.10286392984144729</v>
      </c>
    </row>
    <row r="110" spans="1:21" ht="14.4" x14ac:dyDescent="0.3">
      <c r="A110" s="43">
        <v>48</v>
      </c>
      <c r="B110" s="43"/>
      <c r="C110"/>
      <c r="D110" s="318">
        <v>5.0457473136599602E-4</v>
      </c>
      <c r="E110" s="318">
        <v>5.0022669259871383E-4</v>
      </c>
      <c r="F110" s="318">
        <v>4.9577753665079724E-4</v>
      </c>
      <c r="G110" s="318">
        <v>4.9142949788351516E-4</v>
      </c>
      <c r="H110" s="318">
        <v>4.8839598246448116E-4</v>
      </c>
      <c r="I110" s="318">
        <v>4.8839598246448116E-4</v>
      </c>
      <c r="J110" s="318">
        <v>4.8839598246448116E-4</v>
      </c>
      <c r="K110" s="318">
        <v>4.8839598246448116E-4</v>
      </c>
      <c r="L110" s="318">
        <v>4.8839598246448116E-4</v>
      </c>
      <c r="M110" s="318">
        <v>4.8839598246448116E-4</v>
      </c>
      <c r="N110" s="318">
        <v>4.8839598246448116E-4</v>
      </c>
      <c r="O110" s="318">
        <v>4.8839598246448116E-4</v>
      </c>
      <c r="P110" s="318">
        <v>4.8839598246448116E-4</v>
      </c>
      <c r="Q110" s="318">
        <v>4.8839598246448116E-4</v>
      </c>
      <c r="R110" s="318">
        <v>4.8839598246448116E-4</v>
      </c>
      <c r="S110" s="318">
        <v>4.8839598246448116E-4</v>
      </c>
      <c r="T110" s="318">
        <v>4.8839598246448116E-4</v>
      </c>
      <c r="U110" s="318">
        <v>4.8839598246448116E-4</v>
      </c>
    </row>
    <row r="111" spans="1:21" ht="14.4" x14ac:dyDescent="0.3">
      <c r="A111" s="43">
        <v>49</v>
      </c>
      <c r="B111" s="43"/>
      <c r="C111" s="1"/>
      <c r="D111" s="318">
        <v>9.297577199585369E-2</v>
      </c>
      <c r="E111" s="318">
        <v>9.2174577968634902E-2</v>
      </c>
      <c r="F111" s="318">
        <v>9.1354751522178465E-2</v>
      </c>
      <c r="G111" s="318">
        <v>9.0553557494959705E-2</v>
      </c>
      <c r="H111" s="318">
        <v>8.9994584917830328E-2</v>
      </c>
      <c r="I111" s="318">
        <v>8.9994584917830328E-2</v>
      </c>
      <c r="J111" s="318">
        <v>8.9994584917830328E-2</v>
      </c>
      <c r="K111" s="318">
        <v>8.9994584917830328E-2</v>
      </c>
      <c r="L111" s="318">
        <v>8.9994584917830328E-2</v>
      </c>
      <c r="M111" s="318">
        <v>8.9994584917830328E-2</v>
      </c>
      <c r="N111" s="318">
        <v>8.9994584917830328E-2</v>
      </c>
      <c r="O111" s="318">
        <v>8.9994584917830328E-2</v>
      </c>
      <c r="P111" s="318">
        <v>8.9994584917830328E-2</v>
      </c>
      <c r="Q111" s="318">
        <v>8.9994584917830328E-2</v>
      </c>
      <c r="R111" s="318">
        <v>8.9994584917830328E-2</v>
      </c>
      <c r="S111" s="318">
        <v>8.9994584917830328E-2</v>
      </c>
      <c r="T111" s="318">
        <v>8.9994584917830328E-2</v>
      </c>
      <c r="U111" s="318">
        <v>8.9994584917830328E-2</v>
      </c>
    </row>
    <row r="112" spans="1:21" ht="14.4" x14ac:dyDescent="0.3">
      <c r="A112" s="43">
        <v>50</v>
      </c>
      <c r="B112" s="43"/>
      <c r="C112"/>
      <c r="D112" s="318">
        <v>1.4177758511646067E-3</v>
      </c>
      <c r="E112" s="318">
        <v>1.4055585442307231E-3</v>
      </c>
      <c r="F112" s="318">
        <v>1.3930571138797726E-3</v>
      </c>
      <c r="G112" s="318">
        <v>1.3808398069458895E-3</v>
      </c>
      <c r="H112" s="318">
        <v>1.3723161044338777E-3</v>
      </c>
      <c r="I112" s="318">
        <v>1.3723161044338777E-3</v>
      </c>
      <c r="J112" s="318">
        <v>1.3723161044338777E-3</v>
      </c>
      <c r="K112" s="318">
        <v>1.3723161044338777E-3</v>
      </c>
      <c r="L112" s="318">
        <v>1.3723161044338777E-3</v>
      </c>
      <c r="M112" s="318">
        <v>1.3723161044338777E-3</v>
      </c>
      <c r="N112" s="318">
        <v>1.3723161044338777E-3</v>
      </c>
      <c r="O112" s="318">
        <v>1.3723161044338777E-3</v>
      </c>
      <c r="P112" s="318">
        <v>1.3723161044338777E-3</v>
      </c>
      <c r="Q112" s="318">
        <v>1.3723161044338777E-3</v>
      </c>
      <c r="R112" s="318">
        <v>1.3723161044338777E-3</v>
      </c>
      <c r="S112" s="318">
        <v>1.3723161044338777E-3</v>
      </c>
      <c r="T112" s="318">
        <v>1.3723161044338777E-3</v>
      </c>
      <c r="U112" s="318">
        <v>1.3723161044338777E-3</v>
      </c>
    </row>
    <row r="113" spans="2:21" x14ac:dyDescent="0.25">
      <c r="D113" s="51"/>
      <c r="E113" s="32"/>
      <c r="F113" s="32"/>
      <c r="G113" s="32"/>
    </row>
    <row r="114" spans="2:21" x14ac:dyDescent="0.25">
      <c r="B114" s="26" t="s">
        <v>5</v>
      </c>
      <c r="D114" s="32">
        <f t="shared" ref="D114:U114" si="7">SQRT(SUMSQ(D64:D112))</f>
        <v>4.986442504597016</v>
      </c>
      <c r="E114" s="32">
        <f t="shared" si="7"/>
        <v>4.9434731603690265</v>
      </c>
      <c r="F114" s="32">
        <f t="shared" si="7"/>
        <v>4.8995045290659665</v>
      </c>
      <c r="G114" s="32">
        <f t="shared" si="7"/>
        <v>4.8565351848379752</v>
      </c>
      <c r="H114" s="32">
        <f t="shared" si="7"/>
        <v>4.826556572585889</v>
      </c>
      <c r="I114" s="32">
        <f t="shared" si="7"/>
        <v>4.826556572585889</v>
      </c>
      <c r="J114" s="32">
        <f t="shared" si="7"/>
        <v>4.826556572585889</v>
      </c>
      <c r="K114" s="32">
        <f t="shared" si="7"/>
        <v>4.826556572585889</v>
      </c>
      <c r="L114" s="32">
        <f t="shared" si="7"/>
        <v>4.826556572585889</v>
      </c>
      <c r="M114" s="32">
        <f t="shared" si="7"/>
        <v>4.826556572585889</v>
      </c>
      <c r="N114" s="32">
        <f t="shared" si="7"/>
        <v>4.826556572585889</v>
      </c>
      <c r="O114" s="32">
        <f t="shared" si="7"/>
        <v>4.826556572585889</v>
      </c>
      <c r="P114" s="32">
        <f t="shared" si="7"/>
        <v>4.826556572585889</v>
      </c>
      <c r="Q114" s="32">
        <f t="shared" si="7"/>
        <v>4.826556572585889</v>
      </c>
      <c r="R114" s="32">
        <f t="shared" si="7"/>
        <v>4.826556572585889</v>
      </c>
      <c r="S114" s="32">
        <f t="shared" si="7"/>
        <v>4.826556572585889</v>
      </c>
      <c r="T114" s="32">
        <f t="shared" si="7"/>
        <v>4.826556572585889</v>
      </c>
      <c r="U114" s="32">
        <f t="shared" si="7"/>
        <v>4.826556572585889</v>
      </c>
    </row>
    <row r="115" spans="2:21" x14ac:dyDescent="0.25">
      <c r="S115" s="82"/>
    </row>
    <row r="116" spans="2:21" x14ac:dyDescent="0.25">
      <c r="D116" s="32"/>
      <c r="E116" s="32"/>
      <c r="F116" s="32"/>
      <c r="G116" s="32"/>
      <c r="H116" s="32"/>
      <c r="I116" s="32"/>
      <c r="M116" s="32"/>
      <c r="N116" s="32"/>
    </row>
    <row r="118" spans="2:21" x14ac:dyDescent="0.25">
      <c r="D118" s="32"/>
      <c r="E118" s="32"/>
      <c r="F118" s="32"/>
      <c r="G118" s="32"/>
      <c r="H118" s="32"/>
      <c r="I118" s="32"/>
    </row>
  </sheetData>
  <pageMargins left="0.75" right="0.75" top="1" bottom="1" header="0.5" footer="0.5"/>
  <pageSetup scale="42" fitToHeight="2" orientation="portrait" r:id="rId1"/>
  <headerFooter alignWithMargins="0">
    <oddHeader>&amp;R&amp;D
&amp;T
rh</oddHeader>
    <oddFooter>&amp;L&amp;F
&amp;A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U118"/>
  <sheetViews>
    <sheetView workbookViewId="0">
      <selection activeCell="A3" sqref="A3"/>
    </sheetView>
  </sheetViews>
  <sheetFormatPr defaultRowHeight="13.2" x14ac:dyDescent="0.25"/>
  <cols>
    <col min="1" max="7" width="9.109375" style="26"/>
    <col min="8" max="8" width="10.6640625" style="26" customWidth="1"/>
    <col min="9" max="263" width="9.109375" style="26"/>
    <col min="264" max="264" width="10.6640625" style="26" customWidth="1"/>
    <col min="265" max="519" width="9.109375" style="26"/>
    <col min="520" max="520" width="10.6640625" style="26" customWidth="1"/>
    <col min="521" max="775" width="9.109375" style="26"/>
    <col min="776" max="776" width="10.6640625" style="26" customWidth="1"/>
    <col min="777" max="1031" width="9.109375" style="26"/>
    <col min="1032" max="1032" width="10.6640625" style="26" customWidth="1"/>
    <col min="1033" max="1287" width="9.109375" style="26"/>
    <col min="1288" max="1288" width="10.6640625" style="26" customWidth="1"/>
    <col min="1289" max="1543" width="9.109375" style="26"/>
    <col min="1544" max="1544" width="10.6640625" style="26" customWidth="1"/>
    <col min="1545" max="1799" width="9.109375" style="26"/>
    <col min="1800" max="1800" width="10.6640625" style="26" customWidth="1"/>
    <col min="1801" max="2055" width="9.109375" style="26"/>
    <col min="2056" max="2056" width="10.6640625" style="26" customWidth="1"/>
    <col min="2057" max="2311" width="9.109375" style="26"/>
    <col min="2312" max="2312" width="10.6640625" style="26" customWidth="1"/>
    <col min="2313" max="2567" width="9.109375" style="26"/>
    <col min="2568" max="2568" width="10.6640625" style="26" customWidth="1"/>
    <col min="2569" max="2823" width="9.109375" style="26"/>
    <col min="2824" max="2824" width="10.6640625" style="26" customWidth="1"/>
    <col min="2825" max="3079" width="9.109375" style="26"/>
    <col min="3080" max="3080" width="10.6640625" style="26" customWidth="1"/>
    <col min="3081" max="3335" width="9.109375" style="26"/>
    <col min="3336" max="3336" width="10.6640625" style="26" customWidth="1"/>
    <col min="3337" max="3591" width="9.109375" style="26"/>
    <col min="3592" max="3592" width="10.6640625" style="26" customWidth="1"/>
    <col min="3593" max="3847" width="9.109375" style="26"/>
    <col min="3848" max="3848" width="10.6640625" style="26" customWidth="1"/>
    <col min="3849" max="4103" width="9.109375" style="26"/>
    <col min="4104" max="4104" width="10.6640625" style="26" customWidth="1"/>
    <col min="4105" max="4359" width="9.109375" style="26"/>
    <col min="4360" max="4360" width="10.6640625" style="26" customWidth="1"/>
    <col min="4361" max="4615" width="9.109375" style="26"/>
    <col min="4616" max="4616" width="10.6640625" style="26" customWidth="1"/>
    <col min="4617" max="4871" width="9.109375" style="26"/>
    <col min="4872" max="4872" width="10.6640625" style="26" customWidth="1"/>
    <col min="4873" max="5127" width="9.109375" style="26"/>
    <col min="5128" max="5128" width="10.6640625" style="26" customWidth="1"/>
    <col min="5129" max="5383" width="9.109375" style="26"/>
    <col min="5384" max="5384" width="10.6640625" style="26" customWidth="1"/>
    <col min="5385" max="5639" width="9.109375" style="26"/>
    <col min="5640" max="5640" width="10.6640625" style="26" customWidth="1"/>
    <col min="5641" max="5895" width="9.109375" style="26"/>
    <col min="5896" max="5896" width="10.6640625" style="26" customWidth="1"/>
    <col min="5897" max="6151" width="9.109375" style="26"/>
    <col min="6152" max="6152" width="10.6640625" style="26" customWidth="1"/>
    <col min="6153" max="6407" width="9.109375" style="26"/>
    <col min="6408" max="6408" width="10.6640625" style="26" customWidth="1"/>
    <col min="6409" max="6663" width="9.109375" style="26"/>
    <col min="6664" max="6664" width="10.6640625" style="26" customWidth="1"/>
    <col min="6665" max="6919" width="9.109375" style="26"/>
    <col min="6920" max="6920" width="10.6640625" style="26" customWidth="1"/>
    <col min="6921" max="7175" width="9.109375" style="26"/>
    <col min="7176" max="7176" width="10.6640625" style="26" customWidth="1"/>
    <col min="7177" max="7431" width="9.109375" style="26"/>
    <col min="7432" max="7432" width="10.6640625" style="26" customWidth="1"/>
    <col min="7433" max="7687" width="9.109375" style="26"/>
    <col min="7688" max="7688" width="10.6640625" style="26" customWidth="1"/>
    <col min="7689" max="7943" width="9.109375" style="26"/>
    <col min="7944" max="7944" width="10.6640625" style="26" customWidth="1"/>
    <col min="7945" max="8199" width="9.109375" style="26"/>
    <col min="8200" max="8200" width="10.6640625" style="26" customWidth="1"/>
    <col min="8201" max="8455" width="9.109375" style="26"/>
    <col min="8456" max="8456" width="10.6640625" style="26" customWidth="1"/>
    <col min="8457" max="8711" width="9.109375" style="26"/>
    <col min="8712" max="8712" width="10.6640625" style="26" customWidth="1"/>
    <col min="8713" max="8967" width="9.109375" style="26"/>
    <col min="8968" max="8968" width="10.6640625" style="26" customWidth="1"/>
    <col min="8969" max="9223" width="9.109375" style="26"/>
    <col min="9224" max="9224" width="10.6640625" style="26" customWidth="1"/>
    <col min="9225" max="9479" width="9.109375" style="26"/>
    <col min="9480" max="9480" width="10.6640625" style="26" customWidth="1"/>
    <col min="9481" max="9735" width="9.109375" style="26"/>
    <col min="9736" max="9736" width="10.6640625" style="26" customWidth="1"/>
    <col min="9737" max="9991" width="9.109375" style="26"/>
    <col min="9992" max="9992" width="10.6640625" style="26" customWidth="1"/>
    <col min="9993" max="10247" width="9.109375" style="26"/>
    <col min="10248" max="10248" width="10.6640625" style="26" customWidth="1"/>
    <col min="10249" max="10503" width="9.109375" style="26"/>
    <col min="10504" max="10504" width="10.6640625" style="26" customWidth="1"/>
    <col min="10505" max="10759" width="9.109375" style="26"/>
    <col min="10760" max="10760" width="10.6640625" style="26" customWidth="1"/>
    <col min="10761" max="11015" width="9.109375" style="26"/>
    <col min="11016" max="11016" width="10.6640625" style="26" customWidth="1"/>
    <col min="11017" max="11271" width="9.109375" style="26"/>
    <col min="11272" max="11272" width="10.6640625" style="26" customWidth="1"/>
    <col min="11273" max="11527" width="9.109375" style="26"/>
    <col min="11528" max="11528" width="10.6640625" style="26" customWidth="1"/>
    <col min="11529" max="11783" width="9.109375" style="26"/>
    <col min="11784" max="11784" width="10.6640625" style="26" customWidth="1"/>
    <col min="11785" max="12039" width="9.109375" style="26"/>
    <col min="12040" max="12040" width="10.6640625" style="26" customWidth="1"/>
    <col min="12041" max="12295" width="9.109375" style="26"/>
    <col min="12296" max="12296" width="10.6640625" style="26" customWidth="1"/>
    <col min="12297" max="12551" width="9.109375" style="26"/>
    <col min="12552" max="12552" width="10.6640625" style="26" customWidth="1"/>
    <col min="12553" max="12807" width="9.109375" style="26"/>
    <col min="12808" max="12808" width="10.6640625" style="26" customWidth="1"/>
    <col min="12809" max="13063" width="9.109375" style="26"/>
    <col min="13064" max="13064" width="10.6640625" style="26" customWidth="1"/>
    <col min="13065" max="13319" width="9.109375" style="26"/>
    <col min="13320" max="13320" width="10.6640625" style="26" customWidth="1"/>
    <col min="13321" max="13575" width="9.109375" style="26"/>
    <col min="13576" max="13576" width="10.6640625" style="26" customWidth="1"/>
    <col min="13577" max="13831" width="9.109375" style="26"/>
    <col min="13832" max="13832" width="10.6640625" style="26" customWidth="1"/>
    <col min="13833" max="14087" width="9.109375" style="26"/>
    <col min="14088" max="14088" width="10.6640625" style="26" customWidth="1"/>
    <col min="14089" max="14343" width="9.109375" style="26"/>
    <col min="14344" max="14344" width="10.6640625" style="26" customWidth="1"/>
    <col min="14345" max="14599" width="9.109375" style="26"/>
    <col min="14600" max="14600" width="10.6640625" style="26" customWidth="1"/>
    <col min="14601" max="14855" width="9.109375" style="26"/>
    <col min="14856" max="14856" width="10.6640625" style="26" customWidth="1"/>
    <col min="14857" max="15111" width="9.109375" style="26"/>
    <col min="15112" max="15112" width="10.6640625" style="26" customWidth="1"/>
    <col min="15113" max="15367" width="9.109375" style="26"/>
    <col min="15368" max="15368" width="10.6640625" style="26" customWidth="1"/>
    <col min="15369" max="15623" width="9.109375" style="26"/>
    <col min="15624" max="15624" width="10.6640625" style="26" customWidth="1"/>
    <col min="15625" max="15879" width="9.109375" style="26"/>
    <col min="15880" max="15880" width="10.6640625" style="26" customWidth="1"/>
    <col min="15881" max="16135" width="9.109375" style="26"/>
    <col min="16136" max="16136" width="10.6640625" style="26" customWidth="1"/>
    <col min="16137" max="16384" width="9.109375" style="26"/>
  </cols>
  <sheetData>
    <row r="1" spans="1:15" ht="13.8" thickBot="1" x14ac:dyDescent="0.3">
      <c r="A1" s="25" t="s">
        <v>296</v>
      </c>
      <c r="B1" s="268" t="s">
        <v>402</v>
      </c>
      <c r="C1" s="33">
        <f>Drives!BA42</f>
        <v>38490.017945975058</v>
      </c>
      <c r="D1" s="28" t="s">
        <v>7</v>
      </c>
      <c r="E1" s="300">
        <v>0</v>
      </c>
      <c r="F1" s="301">
        <f>MAX(0.1,E1+100/C1)</f>
        <v>0.1</v>
      </c>
      <c r="G1" s="36" t="s">
        <v>1</v>
      </c>
      <c r="H1" s="29">
        <f>IF(J1=0,0,H4/J1)</f>
        <v>0</v>
      </c>
      <c r="I1" s="47" t="s">
        <v>13</v>
      </c>
      <c r="J1" s="34">
        <f>Drives!Z42</f>
        <v>0</v>
      </c>
      <c r="K1" s="26" t="s">
        <v>84</v>
      </c>
      <c r="N1" s="254">
        <v>0.98099999999999998</v>
      </c>
      <c r="O1" s="54" t="s">
        <v>366</v>
      </c>
    </row>
    <row r="2" spans="1:15" x14ac:dyDescent="0.25">
      <c r="A2" s="267" t="s">
        <v>96</v>
      </c>
      <c r="B2" s="72">
        <v>42</v>
      </c>
      <c r="D2" s="26">
        <f>C4+1</f>
        <v>1</v>
      </c>
      <c r="E2" s="41">
        <f>F1-C3</f>
        <v>0</v>
      </c>
      <c r="F2" s="36"/>
      <c r="G2" s="36"/>
      <c r="J2" s="29">
        <f>IF(J1&gt;=0.2,(0.48+(J1-0.2)*0.65),(J1*2.4))</f>
        <v>0</v>
      </c>
      <c r="K2" s="26" t="s">
        <v>60</v>
      </c>
    </row>
    <row r="3" spans="1:15" ht="13.8" thickBot="1" x14ac:dyDescent="0.3">
      <c r="C3" s="41">
        <f>HLOOKUP($F$1,$D$62:$U$113,(B3+1))</f>
        <v>0.1</v>
      </c>
      <c r="D3" s="41">
        <f>HLOOKUP($D$2,$D$61:$U$113,(B3+2))</f>
        <v>0.5</v>
      </c>
      <c r="E3" s="26">
        <f>D3-C3</f>
        <v>0.4</v>
      </c>
      <c r="F3" s="26">
        <f>IF(E3=0,1,E2/E3)</f>
        <v>0</v>
      </c>
      <c r="G3" s="32">
        <f>C3+(E3*F3)</f>
        <v>0.1</v>
      </c>
    </row>
    <row r="4" spans="1:15" ht="13.8" thickBot="1" x14ac:dyDescent="0.3">
      <c r="A4" s="54"/>
      <c r="B4" s="26">
        <v>1</v>
      </c>
      <c r="C4" s="302">
        <f t="shared" ref="C4:C53" si="0">HLOOKUP($F$1,$D$62:$U$113,(B4+1))</f>
        <v>0</v>
      </c>
      <c r="D4" s="302">
        <f t="shared" ref="D4:D53" si="1">HLOOKUP($D$2,$D$61:$U$113,(B4+2))</f>
        <v>1</v>
      </c>
      <c r="G4" s="27">
        <v>100</v>
      </c>
      <c r="H4" s="34">
        <f>Drives!AR42</f>
        <v>0</v>
      </c>
      <c r="I4" s="26" t="s">
        <v>53</v>
      </c>
    </row>
    <row r="5" spans="1:15" x14ac:dyDescent="0.25">
      <c r="B5" s="26">
        <v>2</v>
      </c>
      <c r="C5" s="52">
        <f t="shared" si="0"/>
        <v>1.6733976776339487E-2</v>
      </c>
      <c r="D5" s="52">
        <f t="shared" si="1"/>
        <v>5.6892628866284404E-3</v>
      </c>
      <c r="E5" s="48">
        <f>D5-C5</f>
        <v>-1.1044713889711046E-2</v>
      </c>
      <c r="F5" s="48">
        <f>E5*$F$3</f>
        <v>0</v>
      </c>
      <c r="G5" s="48">
        <f>C5+F5</f>
        <v>1.6733976776339487E-2</v>
      </c>
      <c r="H5" s="30">
        <f>J$2*G5*$H$1/100</f>
        <v>0</v>
      </c>
    </row>
    <row r="6" spans="1:15" x14ac:dyDescent="0.25">
      <c r="B6" s="26">
        <v>3</v>
      </c>
      <c r="C6" s="52">
        <f t="shared" si="0"/>
        <v>2.9425384242893737</v>
      </c>
      <c r="D6" s="52">
        <f t="shared" si="1"/>
        <v>2.9912381489945816</v>
      </c>
      <c r="E6" s="48">
        <f t="shared" ref="E6:E53" si="2">D6-C6</f>
        <v>4.8699724705207892E-2</v>
      </c>
      <c r="F6" s="48">
        <f t="shared" ref="F6:F53" si="3">E6*$F$3</f>
        <v>0</v>
      </c>
      <c r="G6" s="48">
        <f t="shared" ref="G6:G53" si="4">C6+F6</f>
        <v>2.9425384242893737</v>
      </c>
      <c r="H6" s="30">
        <f t="shared" ref="H6:H53" si="5">J$2*G6*$H$1/100</f>
        <v>0</v>
      </c>
    </row>
    <row r="7" spans="1:15" x14ac:dyDescent="0.25">
      <c r="B7" s="26">
        <v>4</v>
      </c>
      <c r="C7" s="52">
        <f t="shared" si="0"/>
        <v>1.9268339675471011E-2</v>
      </c>
      <c r="D7" s="52">
        <f t="shared" si="1"/>
        <v>3.2778315310422058E-2</v>
      </c>
      <c r="E7" s="48">
        <f t="shared" si="2"/>
        <v>1.3509975634951047E-2</v>
      </c>
      <c r="F7" s="48">
        <f t="shared" si="3"/>
        <v>0</v>
      </c>
      <c r="G7" s="48">
        <f t="shared" si="4"/>
        <v>1.9268339675471011E-2</v>
      </c>
      <c r="H7" s="30">
        <f t="shared" si="5"/>
        <v>0</v>
      </c>
    </row>
    <row r="8" spans="1:15" x14ac:dyDescent="0.25">
      <c r="B8" s="26">
        <v>5</v>
      </c>
      <c r="C8" s="52">
        <f t="shared" si="0"/>
        <v>6.470036040725631E-2</v>
      </c>
      <c r="D8" s="52">
        <f t="shared" si="1"/>
        <v>2.2843955037998354E-2</v>
      </c>
      <c r="E8" s="48">
        <f t="shared" si="2"/>
        <v>-4.1856405369257957E-2</v>
      </c>
      <c r="F8" s="48">
        <f t="shared" si="3"/>
        <v>0</v>
      </c>
      <c r="G8" s="48">
        <f t="shared" si="4"/>
        <v>6.470036040725631E-2</v>
      </c>
      <c r="H8" s="30">
        <f t="shared" si="5"/>
        <v>0</v>
      </c>
    </row>
    <row r="9" spans="1:15" x14ac:dyDescent="0.25">
      <c r="B9" s="26">
        <v>6</v>
      </c>
      <c r="C9" s="52">
        <f t="shared" si="0"/>
        <v>0.11515460283423772</v>
      </c>
      <c r="D9" s="52">
        <f t="shared" si="1"/>
        <v>1.9737229322626431E-2</v>
      </c>
      <c r="E9" s="48">
        <f t="shared" si="2"/>
        <v>-9.5417373511611281E-2</v>
      </c>
      <c r="F9" s="48">
        <f t="shared" si="3"/>
        <v>0</v>
      </c>
      <c r="G9" s="48">
        <f t="shared" si="4"/>
        <v>0.11515460283423772</v>
      </c>
      <c r="H9" s="30">
        <f t="shared" si="5"/>
        <v>0</v>
      </c>
    </row>
    <row r="10" spans="1:15" x14ac:dyDescent="0.25">
      <c r="B10" s="26">
        <v>7</v>
      </c>
      <c r="C10" s="52">
        <f t="shared" si="0"/>
        <v>4.6423943707705174E-2</v>
      </c>
      <c r="D10" s="52">
        <f t="shared" si="1"/>
        <v>4.1014055823097119E-2</v>
      </c>
      <c r="E10" s="48">
        <f t="shared" si="2"/>
        <v>-5.4098878846080556E-3</v>
      </c>
      <c r="F10" s="48">
        <f t="shared" si="3"/>
        <v>0</v>
      </c>
      <c r="G10" s="48">
        <f t="shared" si="4"/>
        <v>4.6423943707705174E-2</v>
      </c>
      <c r="H10" s="30">
        <f t="shared" si="5"/>
        <v>0</v>
      </c>
    </row>
    <row r="11" spans="1:15" x14ac:dyDescent="0.25">
      <c r="B11" s="26">
        <v>8</v>
      </c>
      <c r="C11" s="52">
        <f t="shared" si="0"/>
        <v>0.18926442449673719</v>
      </c>
      <c r="D11" s="52">
        <f t="shared" si="1"/>
        <v>4.0911034298763568E-2</v>
      </c>
      <c r="E11" s="48">
        <f t="shared" si="2"/>
        <v>-0.14835339019797361</v>
      </c>
      <c r="F11" s="48">
        <f t="shared" si="3"/>
        <v>0</v>
      </c>
      <c r="G11" s="48">
        <f t="shared" si="4"/>
        <v>0.18926442449673719</v>
      </c>
      <c r="H11" s="30">
        <f t="shared" si="5"/>
        <v>0</v>
      </c>
    </row>
    <row r="12" spans="1:15" x14ac:dyDescent="0.25">
      <c r="B12" s="26">
        <v>9</v>
      </c>
      <c r="C12" s="52">
        <f t="shared" si="0"/>
        <v>2.0675296037575337</v>
      </c>
      <c r="D12" s="52">
        <f t="shared" si="1"/>
        <v>0.4711928670397651</v>
      </c>
      <c r="E12" s="48">
        <f t="shared" si="2"/>
        <v>-1.5963367367177685</v>
      </c>
      <c r="F12" s="48">
        <f t="shared" si="3"/>
        <v>0</v>
      </c>
      <c r="G12" s="48">
        <f t="shared" si="4"/>
        <v>2.0675296037575337</v>
      </c>
      <c r="H12" s="30">
        <f t="shared" si="5"/>
        <v>0</v>
      </c>
    </row>
    <row r="13" spans="1:15" x14ac:dyDescent="0.25">
      <c r="B13" s="26">
        <v>10</v>
      </c>
      <c r="C13" s="52">
        <f t="shared" si="0"/>
        <v>9.9932601024817214E-2</v>
      </c>
      <c r="D13" s="52">
        <f t="shared" si="1"/>
        <v>2.9332031699670566E-2</v>
      </c>
      <c r="E13" s="48">
        <f t="shared" si="2"/>
        <v>-7.0600569325146648E-2</v>
      </c>
      <c r="F13" s="48">
        <f t="shared" si="3"/>
        <v>0</v>
      </c>
      <c r="G13" s="48">
        <f t="shared" si="4"/>
        <v>9.9932601024817214E-2</v>
      </c>
      <c r="H13" s="30">
        <f t="shared" si="5"/>
        <v>0</v>
      </c>
    </row>
    <row r="14" spans="1:15" x14ac:dyDescent="0.25">
      <c r="B14" s="26">
        <v>11</v>
      </c>
      <c r="C14" s="52">
        <f t="shared" si="0"/>
        <v>56.147617043066411</v>
      </c>
      <c r="D14" s="52">
        <f t="shared" si="1"/>
        <v>21.04597195306479</v>
      </c>
      <c r="E14" s="48">
        <f t="shared" si="2"/>
        <v>-35.101645090001625</v>
      </c>
      <c r="F14" s="48">
        <f t="shared" si="3"/>
        <v>0</v>
      </c>
      <c r="G14" s="48">
        <f t="shared" si="4"/>
        <v>56.147617043066411</v>
      </c>
      <c r="H14" s="30">
        <f t="shared" si="5"/>
        <v>0</v>
      </c>
    </row>
    <row r="15" spans="1:15" x14ac:dyDescent="0.25">
      <c r="B15" s="26">
        <v>12</v>
      </c>
      <c r="C15" s="52">
        <f t="shared" si="0"/>
        <v>1.3663341915059302E-2</v>
      </c>
      <c r="D15" s="52">
        <f t="shared" si="1"/>
        <v>3.6627311932839718E-2</v>
      </c>
      <c r="E15" s="48">
        <f t="shared" si="2"/>
        <v>2.2963970017780416E-2</v>
      </c>
      <c r="F15" s="48">
        <f t="shared" si="3"/>
        <v>0</v>
      </c>
      <c r="G15" s="48">
        <f t="shared" si="4"/>
        <v>1.3663341915059302E-2</v>
      </c>
      <c r="H15" s="30">
        <f t="shared" si="5"/>
        <v>0</v>
      </c>
    </row>
    <row r="16" spans="1:15" x14ac:dyDescent="0.25">
      <c r="B16" s="26">
        <v>13</v>
      </c>
      <c r="C16" s="52">
        <f t="shared" si="0"/>
        <v>45.69475965657044</v>
      </c>
      <c r="D16" s="52">
        <f t="shared" si="1"/>
        <v>11.040723591590107</v>
      </c>
      <c r="E16" s="48">
        <f t="shared" si="2"/>
        <v>-34.654036064980332</v>
      </c>
      <c r="F16" s="48">
        <f t="shared" si="3"/>
        <v>0</v>
      </c>
      <c r="G16" s="48">
        <f t="shared" si="4"/>
        <v>45.69475965657044</v>
      </c>
      <c r="H16" s="30">
        <f t="shared" si="5"/>
        <v>0</v>
      </c>
    </row>
    <row r="17" spans="2:8" x14ac:dyDescent="0.25">
      <c r="B17" s="26">
        <v>14</v>
      </c>
      <c r="C17" s="52">
        <f t="shared" si="0"/>
        <v>3.8700692330743282E-2</v>
      </c>
      <c r="D17" s="52">
        <f t="shared" si="1"/>
        <v>3.2363683501625391E-2</v>
      </c>
      <c r="E17" s="48">
        <f t="shared" si="2"/>
        <v>-6.3370088291178905E-3</v>
      </c>
      <c r="F17" s="48">
        <f t="shared" si="3"/>
        <v>0</v>
      </c>
      <c r="G17" s="48">
        <f t="shared" si="4"/>
        <v>3.8700692330743282E-2</v>
      </c>
      <c r="H17" s="30">
        <f t="shared" si="5"/>
        <v>0</v>
      </c>
    </row>
    <row r="18" spans="2:8" x14ac:dyDescent="0.25">
      <c r="B18" s="26">
        <v>15</v>
      </c>
      <c r="C18" s="52">
        <f t="shared" si="0"/>
        <v>0.70986255436832357</v>
      </c>
      <c r="D18" s="52">
        <f t="shared" si="1"/>
        <v>0.47303406632757494</v>
      </c>
      <c r="E18" s="48">
        <f t="shared" si="2"/>
        <v>-0.23682848804074863</v>
      </c>
      <c r="F18" s="48">
        <f t="shared" si="3"/>
        <v>0</v>
      </c>
      <c r="G18" s="48">
        <f t="shared" si="4"/>
        <v>0.70986255436832357</v>
      </c>
      <c r="H18" s="30">
        <f t="shared" si="5"/>
        <v>0</v>
      </c>
    </row>
    <row r="19" spans="2:8" x14ac:dyDescent="0.25">
      <c r="B19" s="26">
        <v>16</v>
      </c>
      <c r="C19" s="52">
        <f t="shared" si="0"/>
        <v>1.8287425162490132E-2</v>
      </c>
      <c r="D19" s="52">
        <f t="shared" si="1"/>
        <v>9.1218456291417942E-3</v>
      </c>
      <c r="E19" s="48">
        <f t="shared" si="2"/>
        <v>-9.1655795333483378E-3</v>
      </c>
      <c r="F19" s="48">
        <f t="shared" si="3"/>
        <v>0</v>
      </c>
      <c r="G19" s="48">
        <f t="shared" si="4"/>
        <v>1.8287425162490132E-2</v>
      </c>
      <c r="H19" s="30">
        <f t="shared" si="5"/>
        <v>0</v>
      </c>
    </row>
    <row r="20" spans="2:8" x14ac:dyDescent="0.25">
      <c r="B20" s="26">
        <v>17</v>
      </c>
      <c r="C20" s="52">
        <f t="shared" si="0"/>
        <v>1.0907057161764221E-2</v>
      </c>
      <c r="D20" s="52">
        <f t="shared" si="1"/>
        <v>8.6444011326905611E-3</v>
      </c>
      <c r="E20" s="48">
        <f t="shared" si="2"/>
        <v>-2.2626560290736602E-3</v>
      </c>
      <c r="F20" s="48">
        <f t="shared" si="3"/>
        <v>0</v>
      </c>
      <c r="G20" s="48">
        <f t="shared" si="4"/>
        <v>1.0907057161764221E-2</v>
      </c>
      <c r="H20" s="30">
        <f t="shared" si="5"/>
        <v>0</v>
      </c>
    </row>
    <row r="21" spans="2:8" x14ac:dyDescent="0.25">
      <c r="B21" s="26">
        <v>18</v>
      </c>
      <c r="C21" s="52">
        <f t="shared" si="0"/>
        <v>6.9417892271136622E-2</v>
      </c>
      <c r="D21" s="52">
        <f t="shared" si="1"/>
        <v>8.2787448568319502E-3</v>
      </c>
      <c r="E21" s="48">
        <f t="shared" si="2"/>
        <v>-6.1139147414304672E-2</v>
      </c>
      <c r="F21" s="48">
        <f t="shared" si="3"/>
        <v>0</v>
      </c>
      <c r="G21" s="48">
        <f t="shared" si="4"/>
        <v>6.9417892271136622E-2</v>
      </c>
      <c r="H21" s="30">
        <f t="shared" si="5"/>
        <v>0</v>
      </c>
    </row>
    <row r="22" spans="2:8" x14ac:dyDescent="0.25">
      <c r="B22" s="26">
        <v>19</v>
      </c>
      <c r="C22" s="52">
        <f t="shared" si="0"/>
        <v>5.5733028406358314E-3</v>
      </c>
      <c r="D22" s="52">
        <f t="shared" si="1"/>
        <v>1.2692969470371532E-2</v>
      </c>
      <c r="E22" s="48">
        <f t="shared" si="2"/>
        <v>7.1196666297357004E-3</v>
      </c>
      <c r="F22" s="48">
        <f t="shared" si="3"/>
        <v>0</v>
      </c>
      <c r="G22" s="48">
        <f t="shared" si="4"/>
        <v>5.5733028406358314E-3</v>
      </c>
      <c r="H22" s="30">
        <f t="shared" si="5"/>
        <v>0</v>
      </c>
    </row>
    <row r="23" spans="2:8" x14ac:dyDescent="0.25">
      <c r="B23" s="26">
        <v>20</v>
      </c>
      <c r="C23" s="52">
        <f t="shared" si="0"/>
        <v>1.8441409475597116E-2</v>
      </c>
      <c r="D23" s="52">
        <f t="shared" si="1"/>
        <v>1.1776206094228973E-2</v>
      </c>
      <c r="E23" s="48">
        <f t="shared" si="2"/>
        <v>-6.6652033813681434E-3</v>
      </c>
      <c r="F23" s="48">
        <f t="shared" si="3"/>
        <v>0</v>
      </c>
      <c r="G23" s="48">
        <f t="shared" si="4"/>
        <v>1.8441409475597116E-2</v>
      </c>
      <c r="H23" s="30">
        <f t="shared" si="5"/>
        <v>0</v>
      </c>
    </row>
    <row r="24" spans="2:8" x14ac:dyDescent="0.25">
      <c r="B24" s="26">
        <v>21</v>
      </c>
      <c r="C24" s="52">
        <f t="shared" si="0"/>
        <v>2.7538653797198075E-2</v>
      </c>
      <c r="D24" s="52">
        <f t="shared" si="1"/>
        <v>0.27720598721472217</v>
      </c>
      <c r="E24" s="48">
        <f t="shared" si="2"/>
        <v>0.24966733341752409</v>
      </c>
      <c r="F24" s="48">
        <f t="shared" si="3"/>
        <v>0</v>
      </c>
      <c r="G24" s="48">
        <f t="shared" si="4"/>
        <v>2.7538653797198075E-2</v>
      </c>
      <c r="H24" s="30">
        <f t="shared" si="5"/>
        <v>0</v>
      </c>
    </row>
    <row r="25" spans="2:8" x14ac:dyDescent="0.25">
      <c r="B25" s="26">
        <v>22</v>
      </c>
      <c r="C25" s="52">
        <f t="shared" si="0"/>
        <v>4.1585082019574386E-2</v>
      </c>
      <c r="D25" s="52">
        <f t="shared" si="1"/>
        <v>3.2858851161807652E-2</v>
      </c>
      <c r="E25" s="48">
        <f t="shared" si="2"/>
        <v>-8.7262308577667341E-3</v>
      </c>
      <c r="F25" s="48">
        <f t="shared" si="3"/>
        <v>0</v>
      </c>
      <c r="G25" s="48">
        <f t="shared" si="4"/>
        <v>4.1585082019574386E-2</v>
      </c>
      <c r="H25" s="30">
        <f t="shared" si="5"/>
        <v>0</v>
      </c>
    </row>
    <row r="26" spans="2:8" x14ac:dyDescent="0.25">
      <c r="B26" s="26">
        <v>23</v>
      </c>
      <c r="C26" s="52">
        <f t="shared" si="0"/>
        <v>6.5562006656009686</v>
      </c>
      <c r="D26" s="52">
        <f t="shared" si="1"/>
        <v>3.4958555661378261</v>
      </c>
      <c r="E26" s="48">
        <f t="shared" si="2"/>
        <v>-3.0603450994631425</v>
      </c>
      <c r="F26" s="48">
        <f t="shared" si="3"/>
        <v>0</v>
      </c>
      <c r="G26" s="48">
        <f t="shared" si="4"/>
        <v>6.5562006656009686</v>
      </c>
      <c r="H26" s="30">
        <f t="shared" si="5"/>
        <v>0</v>
      </c>
    </row>
    <row r="27" spans="2:8" x14ac:dyDescent="0.25">
      <c r="B27" s="26">
        <v>24</v>
      </c>
      <c r="C27" s="52">
        <f t="shared" si="0"/>
        <v>7.8955532718252269E-3</v>
      </c>
      <c r="D27" s="52">
        <f t="shared" si="1"/>
        <v>3.1784340953180737E-2</v>
      </c>
      <c r="E27" s="48">
        <f t="shared" si="2"/>
        <v>2.3888787681355508E-2</v>
      </c>
      <c r="F27" s="48">
        <f t="shared" si="3"/>
        <v>0</v>
      </c>
      <c r="G27" s="48">
        <f t="shared" si="4"/>
        <v>7.8955532718252269E-3</v>
      </c>
      <c r="H27" s="30">
        <f t="shared" si="5"/>
        <v>0</v>
      </c>
    </row>
    <row r="28" spans="2:8" x14ac:dyDescent="0.25">
      <c r="B28" s="26">
        <v>25</v>
      </c>
      <c r="C28" s="52">
        <f t="shared" si="0"/>
        <v>5.5201328842475661</v>
      </c>
      <c r="D28" s="52">
        <f t="shared" si="1"/>
        <v>3.0355174060958903</v>
      </c>
      <c r="E28" s="48">
        <f t="shared" si="2"/>
        <v>-2.4846154781516758</v>
      </c>
      <c r="F28" s="48">
        <f t="shared" si="3"/>
        <v>0</v>
      </c>
      <c r="G28" s="48">
        <f t="shared" si="4"/>
        <v>5.5201328842475661</v>
      </c>
      <c r="H28" s="30">
        <f t="shared" si="5"/>
        <v>0</v>
      </c>
    </row>
    <row r="29" spans="2:8" x14ac:dyDescent="0.25">
      <c r="B29" s="26">
        <v>26</v>
      </c>
      <c r="C29" s="52">
        <f t="shared" si="0"/>
        <v>2.4334531801025221E-2</v>
      </c>
      <c r="D29" s="52">
        <f t="shared" si="1"/>
        <v>2.654320735448416E-2</v>
      </c>
      <c r="E29" s="48">
        <f t="shared" si="2"/>
        <v>2.2086755534589386E-3</v>
      </c>
      <c r="F29" s="48">
        <f t="shared" si="3"/>
        <v>0</v>
      </c>
      <c r="G29" s="48">
        <f t="shared" si="4"/>
        <v>2.4334531801025221E-2</v>
      </c>
      <c r="H29" s="30">
        <f t="shared" si="5"/>
        <v>0</v>
      </c>
    </row>
    <row r="30" spans="2:8" x14ac:dyDescent="0.25">
      <c r="B30" s="26">
        <v>27</v>
      </c>
      <c r="C30" s="52">
        <f t="shared" si="0"/>
        <v>0.19614866404917825</v>
      </c>
      <c r="D30" s="52">
        <f t="shared" si="1"/>
        <v>0.14917780217035079</v>
      </c>
      <c r="E30" s="48">
        <f t="shared" si="2"/>
        <v>-4.6970861878827458E-2</v>
      </c>
      <c r="F30" s="48">
        <f t="shared" si="3"/>
        <v>0</v>
      </c>
      <c r="G30" s="48">
        <f t="shared" si="4"/>
        <v>0.19614866404917825</v>
      </c>
      <c r="H30" s="30">
        <f t="shared" si="5"/>
        <v>0</v>
      </c>
    </row>
    <row r="31" spans="2:8" x14ac:dyDescent="0.25">
      <c r="B31" s="26">
        <v>28</v>
      </c>
      <c r="C31" s="52">
        <f t="shared" si="0"/>
        <v>2.4676318987774382E-2</v>
      </c>
      <c r="D31" s="52">
        <f t="shared" si="1"/>
        <v>2.0604293910983433E-3</v>
      </c>
      <c r="E31" s="48">
        <f t="shared" si="2"/>
        <v>-2.2615889596676039E-2</v>
      </c>
      <c r="F31" s="48">
        <f t="shared" si="3"/>
        <v>0</v>
      </c>
      <c r="G31" s="48">
        <f t="shared" si="4"/>
        <v>2.4676318987774382E-2</v>
      </c>
      <c r="H31" s="30">
        <f t="shared" si="5"/>
        <v>0</v>
      </c>
    </row>
    <row r="32" spans="2:8" x14ac:dyDescent="0.25">
      <c r="B32" s="26">
        <v>29</v>
      </c>
      <c r="C32" s="52">
        <f t="shared" si="0"/>
        <v>4.0787848178104897E-3</v>
      </c>
      <c r="D32" s="52">
        <f t="shared" si="1"/>
        <v>1.0088243098481987E-2</v>
      </c>
      <c r="E32" s="48">
        <f t="shared" si="2"/>
        <v>6.009458280671497E-3</v>
      </c>
      <c r="F32" s="48">
        <f t="shared" si="3"/>
        <v>0</v>
      </c>
      <c r="G32" s="48">
        <f t="shared" si="4"/>
        <v>4.0787848178104897E-3</v>
      </c>
      <c r="H32" s="30">
        <f t="shared" si="5"/>
        <v>0</v>
      </c>
    </row>
    <row r="33" spans="2:8" x14ac:dyDescent="0.25">
      <c r="B33" s="26">
        <v>30</v>
      </c>
      <c r="C33" s="52">
        <f t="shared" si="0"/>
        <v>4.4162642363631446E-2</v>
      </c>
      <c r="D33" s="52">
        <f t="shared" si="1"/>
        <v>4.7846853807181084E-3</v>
      </c>
      <c r="E33" s="48">
        <f t="shared" si="2"/>
        <v>-3.937795698291334E-2</v>
      </c>
      <c r="F33" s="48">
        <f t="shared" si="3"/>
        <v>0</v>
      </c>
      <c r="G33" s="48">
        <f t="shared" si="4"/>
        <v>4.4162642363631446E-2</v>
      </c>
      <c r="H33" s="30">
        <f t="shared" si="5"/>
        <v>0</v>
      </c>
    </row>
    <row r="34" spans="2:8" x14ac:dyDescent="0.25">
      <c r="B34" s="26">
        <v>31</v>
      </c>
      <c r="C34" s="52">
        <f t="shared" si="0"/>
        <v>5.2246592604650189E-3</v>
      </c>
      <c r="D34" s="52">
        <f t="shared" si="1"/>
        <v>7.4380848269283524E-3</v>
      </c>
      <c r="E34" s="48">
        <f t="shared" si="2"/>
        <v>2.2134255664633335E-3</v>
      </c>
      <c r="F34" s="48">
        <f t="shared" si="3"/>
        <v>0</v>
      </c>
      <c r="G34" s="48">
        <f t="shared" si="4"/>
        <v>5.2246592604650189E-3</v>
      </c>
      <c r="H34" s="30">
        <f t="shared" si="5"/>
        <v>0</v>
      </c>
    </row>
    <row r="35" spans="2:8" x14ac:dyDescent="0.25">
      <c r="B35" s="26">
        <v>32</v>
      </c>
      <c r="C35" s="52">
        <f t="shared" si="0"/>
        <v>3.3700705844867895E-2</v>
      </c>
      <c r="D35" s="52">
        <f t="shared" si="1"/>
        <v>1.4235174516066502E-2</v>
      </c>
      <c r="E35" s="48">
        <f t="shared" si="2"/>
        <v>-1.9465531328801394E-2</v>
      </c>
      <c r="F35" s="48">
        <f t="shared" si="3"/>
        <v>0</v>
      </c>
      <c r="G35" s="48">
        <f t="shared" si="4"/>
        <v>3.3700705844867895E-2</v>
      </c>
      <c r="H35" s="30">
        <f t="shared" si="5"/>
        <v>0</v>
      </c>
    </row>
    <row r="36" spans="2:8" x14ac:dyDescent="0.25">
      <c r="B36" s="26">
        <v>33</v>
      </c>
      <c r="C36" s="52">
        <f t="shared" si="0"/>
        <v>4.4712168606660309E-2</v>
      </c>
      <c r="D36" s="52">
        <f t="shared" si="1"/>
        <v>0.14986970445843439</v>
      </c>
      <c r="E36" s="48">
        <f t="shared" si="2"/>
        <v>0.10515753585177409</v>
      </c>
      <c r="F36" s="48">
        <f t="shared" si="3"/>
        <v>0</v>
      </c>
      <c r="G36" s="48">
        <f t="shared" si="4"/>
        <v>4.4712168606660309E-2</v>
      </c>
      <c r="H36" s="30">
        <f t="shared" si="5"/>
        <v>0</v>
      </c>
    </row>
    <row r="37" spans="2:8" x14ac:dyDescent="0.25">
      <c r="B37" s="26">
        <v>34</v>
      </c>
      <c r="C37" s="52">
        <f t="shared" si="0"/>
        <v>4.9456363965376331E-2</v>
      </c>
      <c r="D37" s="52">
        <f t="shared" si="1"/>
        <v>0.10838512459367143</v>
      </c>
      <c r="E37" s="48">
        <f t="shared" si="2"/>
        <v>5.89287606282951E-2</v>
      </c>
      <c r="F37" s="48">
        <f t="shared" si="3"/>
        <v>0</v>
      </c>
      <c r="G37" s="48">
        <f t="shared" si="4"/>
        <v>4.9456363965376331E-2</v>
      </c>
      <c r="H37" s="30">
        <f t="shared" si="5"/>
        <v>0</v>
      </c>
    </row>
    <row r="38" spans="2:8" x14ac:dyDescent="0.25">
      <c r="B38" s="26">
        <v>35</v>
      </c>
      <c r="C38" s="52">
        <f t="shared" si="0"/>
        <v>3.410516022912522</v>
      </c>
      <c r="D38" s="52">
        <f t="shared" si="1"/>
        <v>1.6958646213492923</v>
      </c>
      <c r="E38" s="48">
        <f t="shared" si="2"/>
        <v>-1.7146514015632297</v>
      </c>
      <c r="F38" s="48">
        <f t="shared" si="3"/>
        <v>0</v>
      </c>
      <c r="G38" s="48">
        <f t="shared" si="4"/>
        <v>3.410516022912522</v>
      </c>
      <c r="H38" s="30">
        <f t="shared" si="5"/>
        <v>0</v>
      </c>
    </row>
    <row r="39" spans="2:8" x14ac:dyDescent="0.25">
      <c r="B39" s="26">
        <v>36</v>
      </c>
      <c r="C39" s="52">
        <f t="shared" si="0"/>
        <v>4.9456363965376331E-2</v>
      </c>
      <c r="D39" s="52">
        <f t="shared" si="1"/>
        <v>0.10838512459367143</v>
      </c>
      <c r="E39" s="48">
        <f t="shared" si="2"/>
        <v>5.89287606282951E-2</v>
      </c>
      <c r="F39" s="48">
        <f t="shared" si="3"/>
        <v>0</v>
      </c>
      <c r="G39" s="48">
        <f t="shared" si="4"/>
        <v>4.9456363965376331E-2</v>
      </c>
      <c r="H39" s="30">
        <f t="shared" si="5"/>
        <v>0</v>
      </c>
    </row>
    <row r="40" spans="2:8" x14ac:dyDescent="0.25">
      <c r="B40" s="26">
        <v>37</v>
      </c>
      <c r="C40" s="52">
        <f t="shared" si="0"/>
        <v>2.5783099792018045</v>
      </c>
      <c r="D40" s="52">
        <f t="shared" si="1"/>
        <v>1.314453693999373</v>
      </c>
      <c r="E40" s="48">
        <f t="shared" si="2"/>
        <v>-1.2638562852024315</v>
      </c>
      <c r="F40" s="48">
        <f t="shared" si="3"/>
        <v>0</v>
      </c>
      <c r="G40" s="48">
        <f t="shared" si="4"/>
        <v>2.5783099792018045</v>
      </c>
      <c r="H40" s="30">
        <f t="shared" si="5"/>
        <v>0</v>
      </c>
    </row>
    <row r="41" spans="2:8" x14ac:dyDescent="0.25">
      <c r="B41" s="26">
        <v>38</v>
      </c>
      <c r="C41" s="52">
        <f t="shared" si="0"/>
        <v>4.9456363965376331E-2</v>
      </c>
      <c r="D41" s="52">
        <f t="shared" si="1"/>
        <v>0.10838512459367143</v>
      </c>
      <c r="E41" s="48">
        <f t="shared" si="2"/>
        <v>5.89287606282951E-2</v>
      </c>
      <c r="F41" s="48">
        <f t="shared" si="3"/>
        <v>0</v>
      </c>
      <c r="G41" s="48">
        <f t="shared" si="4"/>
        <v>4.9456363965376331E-2</v>
      </c>
      <c r="H41" s="30">
        <f t="shared" si="5"/>
        <v>0</v>
      </c>
    </row>
    <row r="42" spans="2:8" x14ac:dyDescent="0.25">
      <c r="B42" s="26">
        <v>39</v>
      </c>
      <c r="C42" s="52">
        <f t="shared" si="0"/>
        <v>9.387292818321398E-2</v>
      </c>
      <c r="D42" s="52">
        <f t="shared" si="1"/>
        <v>0.11060856872598106</v>
      </c>
      <c r="E42" s="48">
        <f t="shared" si="2"/>
        <v>1.6735640542767077E-2</v>
      </c>
      <c r="F42" s="48">
        <f t="shared" si="3"/>
        <v>0</v>
      </c>
      <c r="G42" s="48">
        <f t="shared" si="4"/>
        <v>9.387292818321398E-2</v>
      </c>
      <c r="H42" s="30">
        <f t="shared" si="5"/>
        <v>0</v>
      </c>
    </row>
    <row r="43" spans="2:8" x14ac:dyDescent="0.25">
      <c r="B43" s="26">
        <v>40</v>
      </c>
      <c r="C43" s="52">
        <f t="shared" si="0"/>
        <v>4.9456363965376331E-2</v>
      </c>
      <c r="D43" s="52">
        <f t="shared" si="1"/>
        <v>0.10838512459367143</v>
      </c>
      <c r="E43" s="48">
        <f t="shared" si="2"/>
        <v>5.89287606282951E-2</v>
      </c>
      <c r="F43" s="48">
        <f t="shared" si="3"/>
        <v>0</v>
      </c>
      <c r="G43" s="48">
        <f t="shared" si="4"/>
        <v>4.9456363965376331E-2</v>
      </c>
      <c r="H43" s="30">
        <f t="shared" si="5"/>
        <v>0</v>
      </c>
    </row>
    <row r="44" spans="2:8" x14ac:dyDescent="0.25">
      <c r="B44" s="26">
        <v>41</v>
      </c>
      <c r="C44" s="52">
        <f t="shared" si="0"/>
        <v>9.9703141602343944E-3</v>
      </c>
      <c r="D44" s="52">
        <f t="shared" si="1"/>
        <v>5.453134799355162E-3</v>
      </c>
      <c r="E44" s="48">
        <f t="shared" si="2"/>
        <v>-4.5171793608792324E-3</v>
      </c>
      <c r="F44" s="48">
        <f t="shared" si="3"/>
        <v>0</v>
      </c>
      <c r="G44" s="48">
        <f t="shared" si="4"/>
        <v>9.9703141602343944E-3</v>
      </c>
      <c r="H44" s="30">
        <f t="shared" si="5"/>
        <v>0</v>
      </c>
    </row>
    <row r="45" spans="2:8" x14ac:dyDescent="0.25">
      <c r="B45" s="26">
        <v>42</v>
      </c>
      <c r="C45" s="52">
        <f t="shared" si="0"/>
        <v>4.9456363965376331E-2</v>
      </c>
      <c r="D45" s="52">
        <f t="shared" si="1"/>
        <v>0.10838512459367143</v>
      </c>
      <c r="E45" s="48">
        <f t="shared" si="2"/>
        <v>5.89287606282951E-2</v>
      </c>
      <c r="F45" s="48">
        <f t="shared" si="3"/>
        <v>0</v>
      </c>
      <c r="G45" s="48">
        <f t="shared" si="4"/>
        <v>4.9456363965376331E-2</v>
      </c>
      <c r="H45" s="30">
        <f t="shared" si="5"/>
        <v>0</v>
      </c>
    </row>
    <row r="46" spans="2:8" x14ac:dyDescent="0.25">
      <c r="B46" s="26">
        <v>43</v>
      </c>
      <c r="C46" s="52">
        <f t="shared" si="0"/>
        <v>5.8634771212939382E-3</v>
      </c>
      <c r="D46" s="52">
        <f t="shared" si="1"/>
        <v>1.0850582802151645E-2</v>
      </c>
      <c r="E46" s="48">
        <f t="shared" si="2"/>
        <v>4.9871056808577065E-3</v>
      </c>
      <c r="F46" s="48">
        <f t="shared" si="3"/>
        <v>0</v>
      </c>
      <c r="G46" s="48">
        <f t="shared" si="4"/>
        <v>5.8634771212939382E-3</v>
      </c>
      <c r="H46" s="30">
        <f t="shared" si="5"/>
        <v>0</v>
      </c>
    </row>
    <row r="47" spans="2:8" x14ac:dyDescent="0.25">
      <c r="B47" s="26">
        <v>44</v>
      </c>
      <c r="C47" s="52">
        <f t="shared" si="0"/>
        <v>4.9456363965376331E-2</v>
      </c>
      <c r="D47" s="52">
        <f t="shared" si="1"/>
        <v>0.10838512459367143</v>
      </c>
      <c r="E47" s="48">
        <f t="shared" si="2"/>
        <v>5.89287606282951E-2</v>
      </c>
      <c r="F47" s="48">
        <f t="shared" si="3"/>
        <v>0</v>
      </c>
      <c r="G47" s="48">
        <f t="shared" si="4"/>
        <v>4.9456363965376331E-2</v>
      </c>
      <c r="H47" s="30">
        <f t="shared" si="5"/>
        <v>0</v>
      </c>
    </row>
    <row r="48" spans="2:8" x14ac:dyDescent="0.25">
      <c r="B48" s="26">
        <v>45</v>
      </c>
      <c r="C48" s="52">
        <f t="shared" si="0"/>
        <v>4.9347712708809097E-2</v>
      </c>
      <c r="D48" s="52">
        <f t="shared" si="1"/>
        <v>0.10839554910336398</v>
      </c>
      <c r="E48" s="48">
        <f t="shared" si="2"/>
        <v>5.9047836394554881E-2</v>
      </c>
      <c r="F48" s="48">
        <f t="shared" si="3"/>
        <v>0</v>
      </c>
      <c r="G48" s="48">
        <f t="shared" si="4"/>
        <v>4.9347712708809097E-2</v>
      </c>
      <c r="H48" s="30">
        <f t="shared" si="5"/>
        <v>0</v>
      </c>
    </row>
    <row r="49" spans="1:21" x14ac:dyDescent="0.25">
      <c r="B49" s="26">
        <v>46</v>
      </c>
      <c r="C49" s="52">
        <f t="shared" si="0"/>
        <v>4.9456363965376331E-2</v>
      </c>
      <c r="D49" s="52">
        <f t="shared" si="1"/>
        <v>0.10838512459367143</v>
      </c>
      <c r="E49" s="48">
        <f t="shared" si="2"/>
        <v>5.89287606282951E-2</v>
      </c>
      <c r="F49" s="48">
        <f t="shared" si="3"/>
        <v>0</v>
      </c>
      <c r="G49" s="48">
        <f t="shared" si="4"/>
        <v>4.9456363965376331E-2</v>
      </c>
      <c r="H49" s="30">
        <f t="shared" si="5"/>
        <v>0</v>
      </c>
    </row>
    <row r="50" spans="1:21" x14ac:dyDescent="0.25">
      <c r="B50" s="26">
        <v>47</v>
      </c>
      <c r="C50" s="52">
        <f t="shared" si="0"/>
        <v>1.9494807857850642</v>
      </c>
      <c r="D50" s="52">
        <f t="shared" si="1"/>
        <v>0.84014115105026244</v>
      </c>
      <c r="E50" s="48">
        <f t="shared" si="2"/>
        <v>-1.1093396347348019</v>
      </c>
      <c r="F50" s="48">
        <f t="shared" si="3"/>
        <v>0</v>
      </c>
      <c r="G50" s="48">
        <f t="shared" si="4"/>
        <v>1.9494807857850642</v>
      </c>
      <c r="H50" s="30">
        <f t="shared" si="5"/>
        <v>0</v>
      </c>
    </row>
    <row r="51" spans="1:21" x14ac:dyDescent="0.25">
      <c r="B51" s="26">
        <v>48</v>
      </c>
      <c r="C51" s="52">
        <f t="shared" si="0"/>
        <v>4.9456363965376331E-2</v>
      </c>
      <c r="D51" s="52">
        <f t="shared" si="1"/>
        <v>0.10838512459367143</v>
      </c>
      <c r="E51" s="48">
        <f t="shared" si="2"/>
        <v>5.89287606282951E-2</v>
      </c>
      <c r="F51" s="48">
        <f t="shared" si="3"/>
        <v>0</v>
      </c>
      <c r="G51" s="48">
        <f t="shared" si="4"/>
        <v>4.9456363965376331E-2</v>
      </c>
      <c r="H51" s="30">
        <f t="shared" si="5"/>
        <v>0</v>
      </c>
    </row>
    <row r="52" spans="1:21" x14ac:dyDescent="0.25">
      <c r="B52" s="26">
        <v>49</v>
      </c>
      <c r="C52" s="52">
        <f t="shared" si="0"/>
        <v>1.6137592820505609</v>
      </c>
      <c r="D52" s="52">
        <f t="shared" si="1"/>
        <v>0.64159007502098331</v>
      </c>
      <c r="E52" s="48">
        <f t="shared" si="2"/>
        <v>-0.97216920702957754</v>
      </c>
      <c r="F52" s="48">
        <f t="shared" si="3"/>
        <v>0</v>
      </c>
      <c r="G52" s="48">
        <f t="shared" si="4"/>
        <v>1.6137592820505609</v>
      </c>
      <c r="H52" s="30">
        <f t="shared" si="5"/>
        <v>0</v>
      </c>
    </row>
    <row r="53" spans="1:21" x14ac:dyDescent="0.25">
      <c r="B53" s="26">
        <v>50</v>
      </c>
      <c r="C53" s="52">
        <f t="shared" si="0"/>
        <v>4.9456363965376331E-2</v>
      </c>
      <c r="D53" s="52">
        <f t="shared" si="1"/>
        <v>0.10838512459367143</v>
      </c>
      <c r="E53" s="48">
        <f t="shared" si="2"/>
        <v>5.89287606282951E-2</v>
      </c>
      <c r="F53" s="48">
        <f t="shared" si="3"/>
        <v>0</v>
      </c>
      <c r="G53" s="48">
        <f t="shared" si="4"/>
        <v>4.9456363965376331E-2</v>
      </c>
      <c r="H53" s="30">
        <f t="shared" si="5"/>
        <v>0</v>
      </c>
    </row>
    <row r="54" spans="1:21" x14ac:dyDescent="0.25">
      <c r="C54" s="41"/>
      <c r="D54" s="41"/>
      <c r="E54" s="32"/>
      <c r="F54" s="32"/>
      <c r="G54" s="32"/>
      <c r="H54" s="30"/>
    </row>
    <row r="55" spans="1:21" x14ac:dyDescent="0.25">
      <c r="F55" s="26" t="s">
        <v>85</v>
      </c>
      <c r="G55" s="29">
        <f>IF(H4=0,0,100*H55/H4)</f>
        <v>0</v>
      </c>
      <c r="H55" s="29">
        <f>SQRT(SUMSQ(H5:H53))</f>
        <v>0</v>
      </c>
      <c r="I55" s="26" t="s">
        <v>52</v>
      </c>
      <c r="J55" s="29"/>
    </row>
    <row r="56" spans="1:21" x14ac:dyDescent="0.25">
      <c r="F56" s="26" t="s">
        <v>86</v>
      </c>
      <c r="G56" s="29">
        <f>SQRT(SUMSQ(G4:G53))</f>
        <v>123.90438589379021</v>
      </c>
      <c r="H56" s="29">
        <f>SQRT(SUMSQ(H4:H53))</f>
        <v>0</v>
      </c>
      <c r="I56" s="26" t="s">
        <v>54</v>
      </c>
    </row>
    <row r="57" spans="1:21" x14ac:dyDescent="0.25">
      <c r="G57" s="26" t="s">
        <v>87</v>
      </c>
      <c r="H57" s="26" t="s">
        <v>13</v>
      </c>
    </row>
    <row r="59" spans="1:21" ht="14.4" x14ac:dyDescent="0.3">
      <c r="A59" s="25" t="s">
        <v>63</v>
      </c>
      <c r="C59"/>
      <c r="D59"/>
      <c r="E59"/>
      <c r="F59"/>
      <c r="G59"/>
      <c r="H59"/>
      <c r="I59"/>
      <c r="J59"/>
      <c r="K59"/>
      <c r="L59"/>
      <c r="M59"/>
      <c r="N59"/>
      <c r="O59"/>
      <c r="P59"/>
      <c r="Q59"/>
      <c r="R59"/>
      <c r="S59"/>
      <c r="T59"/>
      <c r="U59"/>
    </row>
    <row r="60" spans="1:21" ht="14.4" x14ac:dyDescent="0.3">
      <c r="C60" s="1" t="s">
        <v>478</v>
      </c>
      <c r="D60" s="7">
        <f>100/D62</f>
        <v>1000</v>
      </c>
      <c r="E60" s="7">
        <f t="shared" ref="E60:U60" si="6">100/E62</f>
        <v>200</v>
      </c>
      <c r="F60" s="7">
        <f t="shared" si="6"/>
        <v>100</v>
      </c>
      <c r="G60" s="7">
        <f t="shared" si="6"/>
        <v>50</v>
      </c>
      <c r="H60" s="7">
        <f t="shared" si="6"/>
        <v>33.333333333333336</v>
      </c>
      <c r="I60" s="7">
        <f t="shared" si="6"/>
        <v>25</v>
      </c>
      <c r="J60" s="7">
        <f t="shared" si="6"/>
        <v>20</v>
      </c>
      <c r="K60" s="7">
        <f t="shared" si="6"/>
        <v>16.666666666666668</v>
      </c>
      <c r="L60" s="7">
        <f t="shared" si="6"/>
        <v>14.285714285714286</v>
      </c>
      <c r="M60" s="7">
        <f t="shared" si="6"/>
        <v>12.5</v>
      </c>
      <c r="N60" s="7">
        <f t="shared" si="6"/>
        <v>10</v>
      </c>
      <c r="O60" s="7">
        <f t="shared" si="6"/>
        <v>8.3333333333333339</v>
      </c>
      <c r="P60" s="7">
        <f t="shared" si="6"/>
        <v>7.1428571428571432</v>
      </c>
      <c r="Q60" s="7">
        <f t="shared" si="6"/>
        <v>5.5555555555555554</v>
      </c>
      <c r="R60" s="7">
        <f t="shared" si="6"/>
        <v>4.7619047619047619</v>
      </c>
      <c r="S60" s="7">
        <f t="shared" si="6"/>
        <v>1</v>
      </c>
      <c r="T60" s="7">
        <f t="shared" si="6"/>
        <v>0.1</v>
      </c>
      <c r="U60" s="7">
        <f t="shared" si="6"/>
        <v>0.01</v>
      </c>
    </row>
    <row r="61" spans="1:21" ht="14.4" x14ac:dyDescent="0.3">
      <c r="C61" s="1" t="s">
        <v>64</v>
      </c>
      <c r="D61">
        <v>0</v>
      </c>
      <c r="E61">
        <v>1</v>
      </c>
      <c r="F61">
        <v>2</v>
      </c>
      <c r="G61">
        <v>3</v>
      </c>
      <c r="H61">
        <v>4</v>
      </c>
      <c r="I61">
        <v>5</v>
      </c>
      <c r="J61">
        <v>6</v>
      </c>
      <c r="K61">
        <v>7</v>
      </c>
      <c r="L61">
        <v>8</v>
      </c>
      <c r="M61">
        <v>9</v>
      </c>
      <c r="N61">
        <v>10</v>
      </c>
      <c r="O61">
        <v>11</v>
      </c>
      <c r="P61">
        <v>12</v>
      </c>
      <c r="Q61">
        <v>13</v>
      </c>
      <c r="R61">
        <v>14</v>
      </c>
      <c r="S61">
        <v>15</v>
      </c>
      <c r="T61">
        <v>16</v>
      </c>
      <c r="U61">
        <v>17</v>
      </c>
    </row>
    <row r="62" spans="1:21" ht="14.4" x14ac:dyDescent="0.3">
      <c r="A62" s="26" t="s">
        <v>65</v>
      </c>
      <c r="B62" s="54"/>
      <c r="C62" s="216" t="s">
        <v>1</v>
      </c>
      <c r="D62" s="296">
        <v>0.1</v>
      </c>
      <c r="E62" s="296">
        <v>0.5</v>
      </c>
      <c r="F62" s="296">
        <v>1</v>
      </c>
      <c r="G62" s="296">
        <v>2</v>
      </c>
      <c r="H62" s="296">
        <v>3</v>
      </c>
      <c r="I62" s="296">
        <v>4</v>
      </c>
      <c r="J62" s="296">
        <v>5</v>
      </c>
      <c r="K62" s="296">
        <v>6</v>
      </c>
      <c r="L62" s="296">
        <v>7</v>
      </c>
      <c r="M62" s="296">
        <v>8</v>
      </c>
      <c r="N62" s="296">
        <v>10</v>
      </c>
      <c r="O62" s="296">
        <v>12</v>
      </c>
      <c r="P62" s="296">
        <v>14</v>
      </c>
      <c r="Q62" s="296">
        <v>18</v>
      </c>
      <c r="R62" s="296">
        <v>21</v>
      </c>
      <c r="S62" s="296">
        <v>100</v>
      </c>
      <c r="T62" s="296">
        <v>1000</v>
      </c>
      <c r="U62" s="296">
        <v>10000</v>
      </c>
    </row>
    <row r="63" spans="1:21" ht="14.4" x14ac:dyDescent="0.3">
      <c r="A63" s="31"/>
      <c r="C63" s="1" t="s">
        <v>64</v>
      </c>
      <c r="D63">
        <v>0</v>
      </c>
      <c r="E63">
        <v>1</v>
      </c>
      <c r="F63">
        <v>2</v>
      </c>
      <c r="G63">
        <v>3</v>
      </c>
      <c r="H63">
        <v>4</v>
      </c>
      <c r="I63">
        <v>5</v>
      </c>
      <c r="J63">
        <v>6</v>
      </c>
      <c r="K63">
        <v>7</v>
      </c>
      <c r="L63">
        <v>8</v>
      </c>
      <c r="M63">
        <v>9</v>
      </c>
      <c r="N63">
        <v>10</v>
      </c>
      <c r="O63">
        <v>11</v>
      </c>
      <c r="P63">
        <v>12</v>
      </c>
      <c r="Q63">
        <v>13</v>
      </c>
      <c r="R63">
        <v>14</v>
      </c>
      <c r="S63">
        <v>15</v>
      </c>
      <c r="T63">
        <v>16</v>
      </c>
      <c r="U63">
        <v>17</v>
      </c>
    </row>
    <row r="64" spans="1:21" ht="14.4" x14ac:dyDescent="0.3">
      <c r="A64" s="43">
        <v>2</v>
      </c>
      <c r="B64" s="43"/>
      <c r="C64"/>
      <c r="D64" s="319">
        <v>1.6733976776339487E-2</v>
      </c>
      <c r="E64" s="319">
        <v>5.6892628866284404E-3</v>
      </c>
      <c r="F64" s="319">
        <v>8.9625234199687445E-2</v>
      </c>
      <c r="G64" s="319">
        <v>3.2455288000091771E-3</v>
      </c>
      <c r="H64" s="319">
        <v>8.605662760164369E-3</v>
      </c>
      <c r="I64" s="319">
        <v>5.8100214543923417E-2</v>
      </c>
      <c r="J64" s="319">
        <v>0.12317242881745624</v>
      </c>
      <c r="K64" s="319">
        <v>0.2036545285308608</v>
      </c>
      <c r="L64" s="319">
        <v>0.22654776083903838</v>
      </c>
      <c r="M64" s="319">
        <v>0.33743453853442068</v>
      </c>
      <c r="N64" s="319">
        <v>0.48746651527264034</v>
      </c>
      <c r="O64" s="319">
        <v>0.48746651527264034</v>
      </c>
      <c r="P64" s="319">
        <v>0.48746651527264034</v>
      </c>
      <c r="Q64" s="319">
        <v>0.48746651527264034</v>
      </c>
      <c r="R64" s="319">
        <v>0.48746651527264034</v>
      </c>
      <c r="S64" s="319">
        <v>0.48746651527264034</v>
      </c>
      <c r="T64" s="319">
        <v>0.48746651527264034</v>
      </c>
      <c r="U64" s="319">
        <v>0.48746651527264034</v>
      </c>
    </row>
    <row r="65" spans="1:21" ht="14.4" x14ac:dyDescent="0.3">
      <c r="A65" s="43">
        <v>3</v>
      </c>
      <c r="B65" s="43"/>
      <c r="C65"/>
      <c r="D65" s="319">
        <v>2.9425384242893737</v>
      </c>
      <c r="E65" s="319">
        <v>2.9912381489945816</v>
      </c>
      <c r="F65" s="319">
        <v>3.2842843031546929</v>
      </c>
      <c r="G65" s="319">
        <v>5.0979228242288306</v>
      </c>
      <c r="H65" s="319">
        <v>7.0979985165049309</v>
      </c>
      <c r="I65" s="319">
        <v>7.4646778095147317</v>
      </c>
      <c r="J65" s="319">
        <v>5.2953670066117411</v>
      </c>
      <c r="K65" s="319">
        <v>3.8133570488391761</v>
      </c>
      <c r="L65" s="319">
        <v>2.895776727903955</v>
      </c>
      <c r="M65" s="319">
        <v>2.3177071791913693</v>
      </c>
      <c r="N65" s="319">
        <v>1.6360019945233881</v>
      </c>
      <c r="O65" s="319">
        <v>1.6360019945233881</v>
      </c>
      <c r="P65" s="319">
        <v>1.6360019945233881</v>
      </c>
      <c r="Q65" s="319">
        <v>1.6360019945233881</v>
      </c>
      <c r="R65" s="319">
        <v>1.6360019945233881</v>
      </c>
      <c r="S65" s="319">
        <v>1.6360019945233881</v>
      </c>
      <c r="T65" s="319">
        <v>1.6360019945233881</v>
      </c>
      <c r="U65" s="319">
        <v>1.6360019945233881</v>
      </c>
    </row>
    <row r="66" spans="1:21" ht="14.4" x14ac:dyDescent="0.3">
      <c r="A66" s="43">
        <v>4</v>
      </c>
      <c r="B66" s="43"/>
      <c r="C66"/>
      <c r="D66" s="319">
        <v>1.9268339675471011E-2</v>
      </c>
      <c r="E66" s="319">
        <v>3.2778315310422058E-2</v>
      </c>
      <c r="F66" s="319">
        <v>5.4311006667842096E-2</v>
      </c>
      <c r="G66" s="319">
        <v>9.7454020473139343E-3</v>
      </c>
      <c r="H66" s="319">
        <v>2.0338453832848324E-2</v>
      </c>
      <c r="I66" s="319">
        <v>1.318899790895554E-2</v>
      </c>
      <c r="J66" s="319">
        <v>8.1817638655608087E-3</v>
      </c>
      <c r="K66" s="319">
        <v>2.5840523702329796E-3</v>
      </c>
      <c r="L66" s="319">
        <v>7.4495378656745737E-3</v>
      </c>
      <c r="M66" s="319">
        <v>4.2907438444338862E-3</v>
      </c>
      <c r="N66" s="319">
        <v>9.0247344645238686E-3</v>
      </c>
      <c r="O66" s="319">
        <v>9.0247344645238686E-3</v>
      </c>
      <c r="P66" s="319">
        <v>9.0247344645238686E-3</v>
      </c>
      <c r="Q66" s="319">
        <v>9.0247344645238686E-3</v>
      </c>
      <c r="R66" s="319">
        <v>9.0247344645238686E-3</v>
      </c>
      <c r="S66" s="319">
        <v>9.0247344645238686E-3</v>
      </c>
      <c r="T66" s="319">
        <v>9.0247344645238686E-3</v>
      </c>
      <c r="U66" s="319">
        <v>9.0247344645238686E-3</v>
      </c>
    </row>
    <row r="67" spans="1:21" ht="14.4" x14ac:dyDescent="0.3">
      <c r="A67" s="43">
        <v>5</v>
      </c>
      <c r="B67" s="43"/>
      <c r="C67"/>
      <c r="D67" s="319">
        <v>6.470036040725631E-2</v>
      </c>
      <c r="E67" s="319">
        <v>2.2843955037998354E-2</v>
      </c>
      <c r="F67" s="319">
        <v>0.15432803231332162</v>
      </c>
      <c r="G67" s="319">
        <v>1.8823182586801955E-2</v>
      </c>
      <c r="H67" s="319">
        <v>3.1517778279624271E-2</v>
      </c>
      <c r="I67" s="319">
        <v>4.4399400728197862E-2</v>
      </c>
      <c r="J67" s="319">
        <v>3.1960449999671181E-2</v>
      </c>
      <c r="K67" s="319">
        <v>1.9767327214502823E-2</v>
      </c>
      <c r="L67" s="319">
        <v>1.2371857824655214E-2</v>
      </c>
      <c r="M67" s="319">
        <v>1.0118779949994262E-2</v>
      </c>
      <c r="N67" s="319">
        <v>5.1476812828945848E-3</v>
      </c>
      <c r="O67" s="319">
        <v>5.1476812828945848E-3</v>
      </c>
      <c r="P67" s="319">
        <v>5.1476812828945848E-3</v>
      </c>
      <c r="Q67" s="319">
        <v>5.1476812828945848E-3</v>
      </c>
      <c r="R67" s="319">
        <v>5.1476812828945848E-3</v>
      </c>
      <c r="S67" s="319">
        <v>5.1476812828945848E-3</v>
      </c>
      <c r="T67" s="319">
        <v>5.1476812828945848E-3</v>
      </c>
      <c r="U67" s="319">
        <v>5.1476812828945848E-3</v>
      </c>
    </row>
    <row r="68" spans="1:21" ht="14.4" x14ac:dyDescent="0.3">
      <c r="A68" s="43">
        <v>6</v>
      </c>
      <c r="B68" s="43"/>
      <c r="C68"/>
      <c r="D68" s="319">
        <v>0.11515460283423772</v>
      </c>
      <c r="E68" s="319">
        <v>1.9737229322626431E-2</v>
      </c>
      <c r="F68" s="319">
        <v>6.9060189420087376E-2</v>
      </c>
      <c r="G68" s="319">
        <v>6.1368364224650375E-3</v>
      </c>
      <c r="H68" s="319">
        <v>2.506520826201011E-2</v>
      </c>
      <c r="I68" s="319">
        <v>7.7674890706409105E-3</v>
      </c>
      <c r="J68" s="319">
        <v>6.693690546854497E-3</v>
      </c>
      <c r="K68" s="319">
        <v>4.0693104098742886E-3</v>
      </c>
      <c r="L68" s="319">
        <v>2.9048606200293959E-3</v>
      </c>
      <c r="M68" s="319">
        <v>2.0481552475595556E-3</v>
      </c>
      <c r="N68" s="319">
        <v>1.0811580262113695E-3</v>
      </c>
      <c r="O68" s="319">
        <v>1.0811580262113695E-3</v>
      </c>
      <c r="P68" s="319">
        <v>1.0811580262113695E-3</v>
      </c>
      <c r="Q68" s="319">
        <v>1.0811580262113695E-3</v>
      </c>
      <c r="R68" s="319">
        <v>1.0811580262113695E-3</v>
      </c>
      <c r="S68" s="319">
        <v>1.0811580262113695E-3</v>
      </c>
      <c r="T68" s="319">
        <v>1.0811580262113695E-3</v>
      </c>
      <c r="U68" s="319">
        <v>1.0811580262113695E-3</v>
      </c>
    </row>
    <row r="69" spans="1:21" ht="14.4" x14ac:dyDescent="0.3">
      <c r="A69" s="43">
        <v>7</v>
      </c>
      <c r="B69" s="43"/>
      <c r="C69"/>
      <c r="D69" s="319">
        <v>4.6423943707705174E-2</v>
      </c>
      <c r="E69" s="319">
        <v>4.1014055823097119E-2</v>
      </c>
      <c r="F69" s="319">
        <v>2.0773822496714906E-2</v>
      </c>
      <c r="G69" s="319">
        <v>5.0882578063590452E-3</v>
      </c>
      <c r="H69" s="319">
        <v>2.6713088636927687E-2</v>
      </c>
      <c r="I69" s="319">
        <v>4.9598330808444967E-2</v>
      </c>
      <c r="J69" s="319">
        <v>3.2812865664175406E-2</v>
      </c>
      <c r="K69" s="319">
        <v>1.9618732457884445E-2</v>
      </c>
      <c r="L69" s="319">
        <v>1.4407245410910997E-2</v>
      </c>
      <c r="M69" s="319">
        <v>9.8259161165843347E-3</v>
      </c>
      <c r="N69" s="319">
        <v>5.3341710885624815E-3</v>
      </c>
      <c r="O69" s="319">
        <v>5.3341710885624815E-3</v>
      </c>
      <c r="P69" s="319">
        <v>5.3341710885624815E-3</v>
      </c>
      <c r="Q69" s="319">
        <v>5.3341710885624815E-3</v>
      </c>
      <c r="R69" s="319">
        <v>5.3341710885624815E-3</v>
      </c>
      <c r="S69" s="319">
        <v>5.3341710885624815E-3</v>
      </c>
      <c r="T69" s="319">
        <v>5.3341710885624815E-3</v>
      </c>
      <c r="U69" s="319">
        <v>5.3341710885624815E-3</v>
      </c>
    </row>
    <row r="70" spans="1:21" ht="14.4" x14ac:dyDescent="0.3">
      <c r="A70" s="43">
        <v>8</v>
      </c>
      <c r="B70" s="43"/>
      <c r="C70"/>
      <c r="D70" s="319">
        <v>0.18926442449673719</v>
      </c>
      <c r="E70" s="319">
        <v>4.0911034298763568E-2</v>
      </c>
      <c r="F70" s="319">
        <v>4.8946543826927973E-2</v>
      </c>
      <c r="G70" s="319">
        <v>2.641725247618226E-3</v>
      </c>
      <c r="H70" s="319">
        <v>1.2851087480505273E-2</v>
      </c>
      <c r="I70" s="319">
        <v>2.8399215427950958E-3</v>
      </c>
      <c r="J70" s="319">
        <v>4.5149251536207033E-3</v>
      </c>
      <c r="K70" s="319">
        <v>8.3724003005767496E-3</v>
      </c>
      <c r="L70" s="319">
        <v>5.1880950691792389E-3</v>
      </c>
      <c r="M70" s="319">
        <v>6.173072414986905E-4</v>
      </c>
      <c r="N70" s="319">
        <v>1.1220594049771854E-2</v>
      </c>
      <c r="O70" s="319">
        <v>1.1220594049771854E-2</v>
      </c>
      <c r="P70" s="319">
        <v>1.1220594049771854E-2</v>
      </c>
      <c r="Q70" s="319">
        <v>1.1220594049771854E-2</v>
      </c>
      <c r="R70" s="319">
        <v>1.1220594049771854E-2</v>
      </c>
      <c r="S70" s="319">
        <v>1.1220594049771854E-2</v>
      </c>
      <c r="T70" s="319">
        <v>1.1220594049771854E-2</v>
      </c>
      <c r="U70" s="319">
        <v>1.1220594049771854E-2</v>
      </c>
    </row>
    <row r="71" spans="1:21" ht="14.4" x14ac:dyDescent="0.3">
      <c r="A71" s="43">
        <v>9</v>
      </c>
      <c r="B71" s="43"/>
      <c r="C71"/>
      <c r="D71" s="319">
        <v>2.0675296037575337</v>
      </c>
      <c r="E71" s="319">
        <v>0.4711928670397651</v>
      </c>
      <c r="F71" s="319">
        <v>0.55353895067074477</v>
      </c>
      <c r="G71" s="319">
        <v>0.60141939676369682</v>
      </c>
      <c r="H71" s="319">
        <v>0.94099927801685168</v>
      </c>
      <c r="I71" s="319">
        <v>1.0256266085920311</v>
      </c>
      <c r="J71" s="319">
        <v>0.74301074697683078</v>
      </c>
      <c r="K71" s="319">
        <v>0.56272562618007893</v>
      </c>
      <c r="L71" s="319">
        <v>0.44611019671567581</v>
      </c>
      <c r="M71" s="319">
        <v>0.3708027725219033</v>
      </c>
      <c r="N71" s="319">
        <v>0.27465413111688342</v>
      </c>
      <c r="O71" s="319">
        <v>0.27465413111688342</v>
      </c>
      <c r="P71" s="319">
        <v>0.27465413111688342</v>
      </c>
      <c r="Q71" s="319">
        <v>0.27465413111688342</v>
      </c>
      <c r="R71" s="319">
        <v>0.27465413111688342</v>
      </c>
      <c r="S71" s="319">
        <v>0.27465413111688342</v>
      </c>
      <c r="T71" s="319">
        <v>0.27465413111688342</v>
      </c>
      <c r="U71" s="319">
        <v>0.27465413111688342</v>
      </c>
    </row>
    <row r="72" spans="1:21" ht="14.4" x14ac:dyDescent="0.3">
      <c r="A72" s="43">
        <v>10</v>
      </c>
      <c r="B72" s="43"/>
      <c r="C72"/>
      <c r="D72" s="319">
        <v>9.9932601024817214E-2</v>
      </c>
      <c r="E72" s="319">
        <v>2.9332031699670566E-2</v>
      </c>
      <c r="F72" s="319">
        <v>4.4854729267268037E-2</v>
      </c>
      <c r="G72" s="319">
        <v>7.3311430234462615E-3</v>
      </c>
      <c r="H72" s="319">
        <v>1.6216349414483655E-3</v>
      </c>
      <c r="I72" s="319">
        <v>1.2690875901455829E-2</v>
      </c>
      <c r="J72" s="319">
        <v>1.5260286831768765E-2</v>
      </c>
      <c r="K72" s="319">
        <v>1.1442320814617171E-2</v>
      </c>
      <c r="L72" s="319">
        <v>2.8253081845984702E-2</v>
      </c>
      <c r="M72" s="319">
        <v>3.1542657136140191E-2</v>
      </c>
      <c r="N72" s="319">
        <v>5.3077804986367425E-2</v>
      </c>
      <c r="O72" s="319">
        <v>5.3077804986367425E-2</v>
      </c>
      <c r="P72" s="319">
        <v>5.3077804986367425E-2</v>
      </c>
      <c r="Q72" s="319">
        <v>5.3077804986367425E-2</v>
      </c>
      <c r="R72" s="319">
        <v>5.3077804986367425E-2</v>
      </c>
      <c r="S72" s="319">
        <v>5.3077804986367425E-2</v>
      </c>
      <c r="T72" s="319">
        <v>5.3077804986367425E-2</v>
      </c>
      <c r="U72" s="319">
        <v>5.3077804986367425E-2</v>
      </c>
    </row>
    <row r="73" spans="1:21" ht="14.4" x14ac:dyDescent="0.3">
      <c r="A73" s="43">
        <v>11</v>
      </c>
      <c r="B73" s="43"/>
      <c r="C73"/>
      <c r="D73" s="319">
        <v>56.147617043066411</v>
      </c>
      <c r="E73" s="319">
        <v>21.04597195306479</v>
      </c>
      <c r="F73" s="319">
        <v>10.534256949506108</v>
      </c>
      <c r="G73" s="319">
        <v>8.3388696942095297</v>
      </c>
      <c r="H73" s="319">
        <v>8.2713027850497447</v>
      </c>
      <c r="I73" s="319">
        <v>7.0967440820214822</v>
      </c>
      <c r="J73" s="319">
        <v>6.2074600607407717</v>
      </c>
      <c r="K73" s="319">
        <v>5.7088153923855165</v>
      </c>
      <c r="L73" s="319">
        <v>5.2709086324780436</v>
      </c>
      <c r="M73" s="319">
        <v>4.913234326188288</v>
      </c>
      <c r="N73" s="319">
        <v>4.3590724905976028</v>
      </c>
      <c r="O73" s="319">
        <v>4.3590724905976028</v>
      </c>
      <c r="P73" s="319">
        <v>4.3590724905976028</v>
      </c>
      <c r="Q73" s="319">
        <v>4.3590724905976028</v>
      </c>
      <c r="R73" s="319">
        <v>4.3590724905976028</v>
      </c>
      <c r="S73" s="319">
        <v>4.3590724905976028</v>
      </c>
      <c r="T73" s="319">
        <v>4.3590724905976028</v>
      </c>
      <c r="U73" s="319">
        <v>4.3590724905976028</v>
      </c>
    </row>
    <row r="74" spans="1:21" ht="14.4" x14ac:dyDescent="0.3">
      <c r="A74" s="43">
        <v>12</v>
      </c>
      <c r="B74" s="43"/>
      <c r="C74"/>
      <c r="D74" s="319">
        <v>1.3663341915059302E-2</v>
      </c>
      <c r="E74" s="319">
        <v>3.6627311932839718E-2</v>
      </c>
      <c r="F74" s="319">
        <v>1.6587379365197275E-2</v>
      </c>
      <c r="G74" s="319">
        <v>1.0192171408795882E-2</v>
      </c>
      <c r="H74" s="319">
        <v>9.6555299792033186E-3</v>
      </c>
      <c r="I74" s="319">
        <v>1.0827402350121541E-2</v>
      </c>
      <c r="J74" s="319">
        <v>7.5352944029719792E-3</v>
      </c>
      <c r="K74" s="319">
        <v>3.3093782839524631E-3</v>
      </c>
      <c r="L74" s="319">
        <v>1.0739516923281182E-2</v>
      </c>
      <c r="M74" s="319">
        <v>1.9210923179251549E-2</v>
      </c>
      <c r="N74" s="319">
        <v>4.296940327188311E-2</v>
      </c>
      <c r="O74" s="319">
        <v>4.296940327188311E-2</v>
      </c>
      <c r="P74" s="319">
        <v>4.296940327188311E-2</v>
      </c>
      <c r="Q74" s="319">
        <v>4.296940327188311E-2</v>
      </c>
      <c r="R74" s="319">
        <v>4.296940327188311E-2</v>
      </c>
      <c r="S74" s="319">
        <v>4.296940327188311E-2</v>
      </c>
      <c r="T74" s="319">
        <v>4.296940327188311E-2</v>
      </c>
      <c r="U74" s="319">
        <v>4.296940327188311E-2</v>
      </c>
    </row>
    <row r="75" spans="1:21" ht="14.4" x14ac:dyDescent="0.3">
      <c r="A75" s="43">
        <v>13</v>
      </c>
      <c r="B75" s="43"/>
      <c r="C75"/>
      <c r="D75" s="319">
        <v>45.69475965657044</v>
      </c>
      <c r="E75" s="319">
        <v>11.040723591590107</v>
      </c>
      <c r="F75" s="319">
        <v>7.9025082329939407</v>
      </c>
      <c r="G75" s="319">
        <v>5.4737306509528834</v>
      </c>
      <c r="H75" s="319">
        <v>3.5423123704675925</v>
      </c>
      <c r="I75" s="319">
        <v>2.9177070488098851</v>
      </c>
      <c r="J75" s="319">
        <v>2.9553969286173802</v>
      </c>
      <c r="K75" s="319">
        <v>2.7282204915699673</v>
      </c>
      <c r="L75" s="319">
        <v>2.5784133573371153</v>
      </c>
      <c r="M75" s="319">
        <v>2.4588897549656927</v>
      </c>
      <c r="N75" s="319">
        <v>2.2753410181724587</v>
      </c>
      <c r="O75" s="319">
        <v>2.2753410181724587</v>
      </c>
      <c r="P75" s="319">
        <v>2.2753410181724587</v>
      </c>
      <c r="Q75" s="319">
        <v>2.2753410181724587</v>
      </c>
      <c r="R75" s="319">
        <v>2.2753410181724587</v>
      </c>
      <c r="S75" s="319">
        <v>2.2753410181724587</v>
      </c>
      <c r="T75" s="319">
        <v>2.2753410181724587</v>
      </c>
      <c r="U75" s="319">
        <v>2.2753410181724587</v>
      </c>
    </row>
    <row r="76" spans="1:21" ht="14.4" x14ac:dyDescent="0.3">
      <c r="A76" s="43">
        <v>14</v>
      </c>
      <c r="B76" s="43"/>
      <c r="C76"/>
      <c r="D76" s="319">
        <v>3.8700692330743282E-2</v>
      </c>
      <c r="E76" s="319">
        <v>3.2363683501625391E-2</v>
      </c>
      <c r="F76" s="319">
        <v>3.5908204620314896E-2</v>
      </c>
      <c r="G76" s="319">
        <v>8.199630732997315E-3</v>
      </c>
      <c r="H76" s="319">
        <v>9.4170860300758004E-4</v>
      </c>
      <c r="I76" s="319">
        <v>7.3922745757873101E-3</v>
      </c>
      <c r="J76" s="319">
        <v>9.9447703743687031E-3</v>
      </c>
      <c r="K76" s="319">
        <v>1.4286871012907832E-2</v>
      </c>
      <c r="L76" s="319">
        <v>4.5981013723159934E-3</v>
      </c>
      <c r="M76" s="319">
        <v>1.7429639688644447E-2</v>
      </c>
      <c r="N76" s="319">
        <v>2.1423744206352111E-2</v>
      </c>
      <c r="O76" s="319">
        <v>2.1423744206352111E-2</v>
      </c>
      <c r="P76" s="319">
        <v>2.1423744206352111E-2</v>
      </c>
      <c r="Q76" s="319">
        <v>2.1423744206352111E-2</v>
      </c>
      <c r="R76" s="319">
        <v>2.1423744206352111E-2</v>
      </c>
      <c r="S76" s="319">
        <v>2.1423744206352111E-2</v>
      </c>
      <c r="T76" s="319">
        <v>2.1423744206352111E-2</v>
      </c>
      <c r="U76" s="319">
        <v>2.1423744206352111E-2</v>
      </c>
    </row>
    <row r="77" spans="1:21" ht="14.4" x14ac:dyDescent="0.3">
      <c r="A77" s="43">
        <v>15</v>
      </c>
      <c r="B77" s="43"/>
      <c r="C77"/>
      <c r="D77" s="319">
        <v>0.70986255436832357</v>
      </c>
      <c r="E77" s="319">
        <v>0.47303406632757494</v>
      </c>
      <c r="F77" s="319">
        <v>0.37155452956179824</v>
      </c>
      <c r="G77" s="319">
        <v>0.33344337535862717</v>
      </c>
      <c r="H77" s="319">
        <v>0.49962525420684478</v>
      </c>
      <c r="I77" s="319">
        <v>0.53446126246636894</v>
      </c>
      <c r="J77" s="319">
        <v>0.41154789291395233</v>
      </c>
      <c r="K77" s="319">
        <v>0.30295470238048333</v>
      </c>
      <c r="L77" s="319">
        <v>0.24065007229714386</v>
      </c>
      <c r="M77" s="319">
        <v>0.2003079958830925</v>
      </c>
      <c r="N77" s="319">
        <v>0.15447812917472231</v>
      </c>
      <c r="O77" s="319">
        <v>0.15447812917472231</v>
      </c>
      <c r="P77" s="319">
        <v>0.15447812917472231</v>
      </c>
      <c r="Q77" s="319">
        <v>0.15447812917472231</v>
      </c>
      <c r="R77" s="319">
        <v>0.15447812917472231</v>
      </c>
      <c r="S77" s="319">
        <v>0.15447812917472231</v>
      </c>
      <c r="T77" s="319">
        <v>0.15447812917472231</v>
      </c>
      <c r="U77" s="319">
        <v>0.15447812917472231</v>
      </c>
    </row>
    <row r="78" spans="1:21" ht="14.4" x14ac:dyDescent="0.3">
      <c r="A78" s="43">
        <v>16</v>
      </c>
      <c r="B78" s="43"/>
      <c r="C78"/>
      <c r="D78" s="319">
        <v>1.8287425162490132E-2</v>
      </c>
      <c r="E78" s="319">
        <v>9.1218456291417942E-3</v>
      </c>
      <c r="F78" s="319">
        <v>2.5577256710294715E-2</v>
      </c>
      <c r="G78" s="319">
        <v>6.100953870635451E-3</v>
      </c>
      <c r="H78" s="319">
        <v>1.5337217594765674E-2</v>
      </c>
      <c r="I78" s="319">
        <v>6.5173160115239498E-3</v>
      </c>
      <c r="J78" s="319">
        <v>4.2910962018053739E-3</v>
      </c>
      <c r="K78" s="319">
        <v>5.6138699012358373E-3</v>
      </c>
      <c r="L78" s="319">
        <v>5.7740839196722613E-3</v>
      </c>
      <c r="M78" s="319">
        <v>1.1761279900872629E-3</v>
      </c>
      <c r="N78" s="319">
        <v>6.7307175654494336E-3</v>
      </c>
      <c r="O78" s="319">
        <v>6.7307175654494336E-3</v>
      </c>
      <c r="P78" s="319">
        <v>6.7307175654494336E-3</v>
      </c>
      <c r="Q78" s="319">
        <v>6.7307175654494336E-3</v>
      </c>
      <c r="R78" s="319">
        <v>6.7307175654494336E-3</v>
      </c>
      <c r="S78" s="319">
        <v>6.7307175654494336E-3</v>
      </c>
      <c r="T78" s="319">
        <v>6.7307175654494336E-3</v>
      </c>
      <c r="U78" s="319">
        <v>6.7307175654494336E-3</v>
      </c>
    </row>
    <row r="79" spans="1:21" ht="14.4" x14ac:dyDescent="0.3">
      <c r="A79" s="43">
        <v>17</v>
      </c>
      <c r="B79" s="43"/>
      <c r="C79"/>
      <c r="D79" s="319">
        <v>1.0907057161764221E-2</v>
      </c>
      <c r="E79" s="319">
        <v>8.6444011326905611E-3</v>
      </c>
      <c r="F79" s="319">
        <v>1.6113763135671082E-2</v>
      </c>
      <c r="G79" s="319">
        <v>6.2226364891743817E-3</v>
      </c>
      <c r="H79" s="319">
        <v>2.6689850455643451E-2</v>
      </c>
      <c r="I79" s="319">
        <v>4.0981416601334031E-2</v>
      </c>
      <c r="J79" s="319">
        <v>3.0520355387707906E-2</v>
      </c>
      <c r="K79" s="319">
        <v>1.7783100668554916E-2</v>
      </c>
      <c r="L79" s="319">
        <v>1.3759222757496047E-2</v>
      </c>
      <c r="M79" s="319">
        <v>9.480384766755964E-3</v>
      </c>
      <c r="N79" s="319">
        <v>7.9644423526298701E-3</v>
      </c>
      <c r="O79" s="319">
        <v>7.9644423526298701E-3</v>
      </c>
      <c r="P79" s="319">
        <v>7.9644423526298701E-3</v>
      </c>
      <c r="Q79" s="319">
        <v>7.9644423526298701E-3</v>
      </c>
      <c r="R79" s="319">
        <v>7.9644423526298701E-3</v>
      </c>
      <c r="S79" s="319">
        <v>7.9644423526298701E-3</v>
      </c>
      <c r="T79" s="319">
        <v>7.9644423526298701E-3</v>
      </c>
      <c r="U79" s="319">
        <v>7.9644423526298701E-3</v>
      </c>
    </row>
    <row r="80" spans="1:21" ht="14.4" x14ac:dyDescent="0.3">
      <c r="A80" s="43">
        <v>18</v>
      </c>
      <c r="B80" s="43"/>
      <c r="C80"/>
      <c r="D80" s="319">
        <v>6.9417892271136622E-2</v>
      </c>
      <c r="E80" s="319">
        <v>8.2787448568319502E-3</v>
      </c>
      <c r="F80" s="319">
        <v>2.6956314822135754E-2</v>
      </c>
      <c r="G80" s="319">
        <v>4.1665608189221156E-3</v>
      </c>
      <c r="H80" s="319">
        <v>1.9845993324342705E-2</v>
      </c>
      <c r="I80" s="319">
        <v>3.4857590951092002E-3</v>
      </c>
      <c r="J80" s="319">
        <v>5.2518781234033272E-3</v>
      </c>
      <c r="K80" s="319">
        <v>4.3866714947528801E-3</v>
      </c>
      <c r="L80" s="319">
        <v>1.4373757864485329E-3</v>
      </c>
      <c r="M80" s="319">
        <v>8.0177436289160609E-4</v>
      </c>
      <c r="N80" s="319">
        <v>3.285718778493347E-3</v>
      </c>
      <c r="O80" s="319">
        <v>3.285718778493347E-3</v>
      </c>
      <c r="P80" s="319">
        <v>3.285718778493347E-3</v>
      </c>
      <c r="Q80" s="319">
        <v>3.285718778493347E-3</v>
      </c>
      <c r="R80" s="319">
        <v>3.285718778493347E-3</v>
      </c>
      <c r="S80" s="319">
        <v>3.285718778493347E-3</v>
      </c>
      <c r="T80" s="319">
        <v>3.285718778493347E-3</v>
      </c>
      <c r="U80" s="319">
        <v>3.285718778493347E-3</v>
      </c>
    </row>
    <row r="81" spans="1:21" ht="14.4" x14ac:dyDescent="0.3">
      <c r="A81" s="43">
        <v>19</v>
      </c>
      <c r="B81" s="43"/>
      <c r="C81"/>
      <c r="D81" s="319">
        <v>5.5733028406358314E-3</v>
      </c>
      <c r="E81" s="319">
        <v>1.2692969470371532E-2</v>
      </c>
      <c r="F81" s="319">
        <v>5.5218256315667123E-3</v>
      </c>
      <c r="G81" s="319">
        <v>4.1282727332082542E-3</v>
      </c>
      <c r="H81" s="319">
        <v>2.4820343316656363E-2</v>
      </c>
      <c r="I81" s="319">
        <v>5.0104666884822263E-2</v>
      </c>
      <c r="J81" s="319">
        <v>2.8751854659752354E-2</v>
      </c>
      <c r="K81" s="319">
        <v>2.1262113908036222E-2</v>
      </c>
      <c r="L81" s="319">
        <v>1.4835752267629027E-2</v>
      </c>
      <c r="M81" s="319">
        <v>1.0676786034851792E-2</v>
      </c>
      <c r="N81" s="319">
        <v>7.1914552594838548E-3</v>
      </c>
      <c r="O81" s="319">
        <v>7.1914552594838548E-3</v>
      </c>
      <c r="P81" s="319">
        <v>7.1914552594838548E-3</v>
      </c>
      <c r="Q81" s="319">
        <v>7.1914552594838548E-3</v>
      </c>
      <c r="R81" s="319">
        <v>7.1914552594838548E-3</v>
      </c>
      <c r="S81" s="319">
        <v>7.1914552594838548E-3</v>
      </c>
      <c r="T81" s="319">
        <v>7.1914552594838548E-3</v>
      </c>
      <c r="U81" s="319">
        <v>7.1914552594838548E-3</v>
      </c>
    </row>
    <row r="82" spans="1:21" ht="14.4" x14ac:dyDescent="0.3">
      <c r="A82" s="43">
        <v>20</v>
      </c>
      <c r="B82" s="43"/>
      <c r="C82"/>
      <c r="D82" s="319">
        <v>1.8441409475597116E-2</v>
      </c>
      <c r="E82" s="319">
        <v>1.1776206094228973E-2</v>
      </c>
      <c r="F82" s="319">
        <v>2.280921374983844E-2</v>
      </c>
      <c r="G82" s="319">
        <v>5.0305128125521419E-3</v>
      </c>
      <c r="H82" s="319">
        <v>1.3121270341819046E-2</v>
      </c>
      <c r="I82" s="319">
        <v>7.4317498203080295E-3</v>
      </c>
      <c r="J82" s="319">
        <v>6.3873337613861159E-3</v>
      </c>
      <c r="K82" s="319">
        <v>5.5925980197134694E-3</v>
      </c>
      <c r="L82" s="319">
        <v>4.2396443897366222E-3</v>
      </c>
      <c r="M82" s="319">
        <v>8.5694456502540364E-4</v>
      </c>
      <c r="N82" s="319">
        <v>7.0421334252453857E-3</v>
      </c>
      <c r="O82" s="319">
        <v>7.0421334252453857E-3</v>
      </c>
      <c r="P82" s="319">
        <v>7.0421334252453857E-3</v>
      </c>
      <c r="Q82" s="319">
        <v>7.0421334252453857E-3</v>
      </c>
      <c r="R82" s="319">
        <v>7.0421334252453857E-3</v>
      </c>
      <c r="S82" s="319">
        <v>7.0421334252453857E-3</v>
      </c>
      <c r="T82" s="319">
        <v>7.0421334252453857E-3</v>
      </c>
      <c r="U82" s="319">
        <v>7.0421334252453857E-3</v>
      </c>
    </row>
    <row r="83" spans="1:21" ht="14.4" x14ac:dyDescent="0.3">
      <c r="A83" s="43">
        <v>21</v>
      </c>
      <c r="B83" s="43"/>
      <c r="C83"/>
      <c r="D83" s="319">
        <v>2.7538653797198075E-2</v>
      </c>
      <c r="E83" s="319">
        <v>0.27720598721472217</v>
      </c>
      <c r="F83" s="319">
        <v>0.23239564390450759</v>
      </c>
      <c r="G83" s="319">
        <v>0.23055159045218543</v>
      </c>
      <c r="H83" s="319">
        <v>0.3712653651124429</v>
      </c>
      <c r="I83" s="319">
        <v>0.42460916504798119</v>
      </c>
      <c r="J83" s="319">
        <v>0.30723479018011263</v>
      </c>
      <c r="K83" s="319">
        <v>0.24140942062192514</v>
      </c>
      <c r="L83" s="319">
        <v>0.19352635048560113</v>
      </c>
      <c r="M83" s="319">
        <v>0.16193102308459181</v>
      </c>
      <c r="N83" s="319">
        <v>0.1216597344196499</v>
      </c>
      <c r="O83" s="319">
        <v>0.1216597344196499</v>
      </c>
      <c r="P83" s="319">
        <v>0.1216597344196499</v>
      </c>
      <c r="Q83" s="319">
        <v>0.1216597344196499</v>
      </c>
      <c r="R83" s="319">
        <v>0.1216597344196499</v>
      </c>
      <c r="S83" s="319">
        <v>0.1216597344196499</v>
      </c>
      <c r="T83" s="319">
        <v>0.1216597344196499</v>
      </c>
      <c r="U83" s="319">
        <v>0.1216597344196499</v>
      </c>
    </row>
    <row r="84" spans="1:21" ht="14.4" x14ac:dyDescent="0.3">
      <c r="A84" s="43">
        <v>22</v>
      </c>
      <c r="B84" s="43"/>
      <c r="C84"/>
      <c r="D84" s="319">
        <v>4.1585082019574386E-2</v>
      </c>
      <c r="E84" s="319">
        <v>3.2858851161807652E-2</v>
      </c>
      <c r="F84" s="319">
        <v>2.1100986913932938E-2</v>
      </c>
      <c r="G84" s="319">
        <v>7.1304715893018835E-3</v>
      </c>
      <c r="H84" s="319">
        <v>2.72722942999309E-3</v>
      </c>
      <c r="I84" s="319">
        <v>8.8704807143368102E-3</v>
      </c>
      <c r="J84" s="319">
        <v>9.094734263029966E-3</v>
      </c>
      <c r="K84" s="319">
        <v>3.2668514580803574E-3</v>
      </c>
      <c r="L84" s="319">
        <v>1.0612432199768724E-2</v>
      </c>
      <c r="M84" s="319">
        <v>1.1826361242993765E-2</v>
      </c>
      <c r="N84" s="319">
        <v>2.1967873074003427E-2</v>
      </c>
      <c r="O84" s="319">
        <v>2.1967873074003427E-2</v>
      </c>
      <c r="P84" s="319">
        <v>2.1967873074003427E-2</v>
      </c>
      <c r="Q84" s="319">
        <v>2.1967873074003427E-2</v>
      </c>
      <c r="R84" s="319">
        <v>2.1967873074003427E-2</v>
      </c>
      <c r="S84" s="319">
        <v>2.1967873074003427E-2</v>
      </c>
      <c r="T84" s="319">
        <v>2.1967873074003427E-2</v>
      </c>
      <c r="U84" s="319">
        <v>2.1967873074003427E-2</v>
      </c>
    </row>
    <row r="85" spans="1:21" ht="14.4" x14ac:dyDescent="0.3">
      <c r="A85" s="43">
        <v>23</v>
      </c>
      <c r="B85" s="43"/>
      <c r="C85"/>
      <c r="D85" s="319">
        <v>6.5562006656009686</v>
      </c>
      <c r="E85" s="319">
        <v>3.4958555661378261</v>
      </c>
      <c r="F85" s="319">
        <v>2.966680385961892</v>
      </c>
      <c r="G85" s="319">
        <v>2.2238049001757774</v>
      </c>
      <c r="H85" s="319">
        <v>2.1431916284939443</v>
      </c>
      <c r="I85" s="319">
        <v>1.871912232116576</v>
      </c>
      <c r="J85" s="319">
        <v>1.5276412639007861</v>
      </c>
      <c r="K85" s="319">
        <v>1.4203952972611971</v>
      </c>
      <c r="L85" s="319">
        <v>1.3076150805436511</v>
      </c>
      <c r="M85" s="319">
        <v>1.2081681131981084</v>
      </c>
      <c r="N85" s="319">
        <v>1.0535700380256701</v>
      </c>
      <c r="O85" s="319">
        <v>1.0535700380256701</v>
      </c>
      <c r="P85" s="319">
        <v>1.0535700380256701</v>
      </c>
      <c r="Q85" s="319">
        <v>1.0535700380256701</v>
      </c>
      <c r="R85" s="319">
        <v>1.0535700380256701</v>
      </c>
      <c r="S85" s="319">
        <v>1.0535700380256701</v>
      </c>
      <c r="T85" s="319">
        <v>1.0535700380256701</v>
      </c>
      <c r="U85" s="319">
        <v>1.0535700380256701</v>
      </c>
    </row>
    <row r="86" spans="1:21" ht="14.4" x14ac:dyDescent="0.3">
      <c r="A86" s="43">
        <v>24</v>
      </c>
      <c r="B86" s="43"/>
      <c r="C86"/>
      <c r="D86" s="319">
        <v>7.8955532718252269E-3</v>
      </c>
      <c r="E86" s="319">
        <v>3.1784340953180737E-2</v>
      </c>
      <c r="F86" s="319">
        <v>1.0832679432909227E-2</v>
      </c>
      <c r="G86" s="319">
        <v>1.0709153221055524E-2</v>
      </c>
      <c r="H86" s="319">
        <v>4.6132705124143133E-3</v>
      </c>
      <c r="I86" s="319">
        <v>9.7479109261182327E-3</v>
      </c>
      <c r="J86" s="319">
        <v>8.3117241943571861E-3</v>
      </c>
      <c r="K86" s="319">
        <v>5.9958624340290161E-3</v>
      </c>
      <c r="L86" s="319">
        <v>9.7609698793371894E-3</v>
      </c>
      <c r="M86" s="319">
        <v>1.4431757898786401E-2</v>
      </c>
      <c r="N86" s="319">
        <v>2.617198709620687E-2</v>
      </c>
      <c r="O86" s="319">
        <v>2.617198709620687E-2</v>
      </c>
      <c r="P86" s="319">
        <v>2.617198709620687E-2</v>
      </c>
      <c r="Q86" s="319">
        <v>2.617198709620687E-2</v>
      </c>
      <c r="R86" s="319">
        <v>2.617198709620687E-2</v>
      </c>
      <c r="S86" s="319">
        <v>2.617198709620687E-2</v>
      </c>
      <c r="T86" s="319">
        <v>2.617198709620687E-2</v>
      </c>
      <c r="U86" s="319">
        <v>2.617198709620687E-2</v>
      </c>
    </row>
    <row r="87" spans="1:21" ht="14.4" x14ac:dyDescent="0.3">
      <c r="A87" s="43">
        <v>25</v>
      </c>
      <c r="B87" s="43"/>
      <c r="C87"/>
      <c r="D87" s="319">
        <v>5.5201328842475661</v>
      </c>
      <c r="E87" s="319">
        <v>3.0355174060958903</v>
      </c>
      <c r="F87" s="319">
        <v>1.9719110979592223</v>
      </c>
      <c r="G87" s="319">
        <v>1.222193087934333</v>
      </c>
      <c r="H87" s="319">
        <v>0.98320000017475662</v>
      </c>
      <c r="I87" s="319">
        <v>0.83160841510810546</v>
      </c>
      <c r="J87" s="319">
        <v>1.0041435786903905</v>
      </c>
      <c r="K87" s="319">
        <v>0.92170999343033866</v>
      </c>
      <c r="L87" s="319">
        <v>0.8667406493405706</v>
      </c>
      <c r="M87" s="319">
        <v>0.81864329625348464</v>
      </c>
      <c r="N87" s="319">
        <v>0.74369085056749196</v>
      </c>
      <c r="O87" s="319">
        <v>0.74369085056749196</v>
      </c>
      <c r="P87" s="319">
        <v>0.74369085056749196</v>
      </c>
      <c r="Q87" s="319">
        <v>0.74369085056749196</v>
      </c>
      <c r="R87" s="319">
        <v>0.74369085056749196</v>
      </c>
      <c r="S87" s="319">
        <v>0.74369085056749196</v>
      </c>
      <c r="T87" s="319">
        <v>0.74369085056749196</v>
      </c>
      <c r="U87" s="319">
        <v>0.74369085056749196</v>
      </c>
    </row>
    <row r="88" spans="1:21" ht="14.4" x14ac:dyDescent="0.3">
      <c r="A88" s="43">
        <v>26</v>
      </c>
      <c r="B88" s="43"/>
      <c r="C88"/>
      <c r="D88" s="319">
        <v>2.4334531801025221E-2</v>
      </c>
      <c r="E88" s="319">
        <v>2.654320735448416E-2</v>
      </c>
      <c r="F88" s="319">
        <v>1.2851874755798057E-2</v>
      </c>
      <c r="G88" s="319">
        <v>7.8033156753522254E-3</v>
      </c>
      <c r="H88" s="319">
        <v>4.0417222158897637E-3</v>
      </c>
      <c r="I88" s="319">
        <v>7.8652623189153312E-3</v>
      </c>
      <c r="J88" s="319">
        <v>9.0099662943136892E-3</v>
      </c>
      <c r="K88" s="319">
        <v>7.1088269494019871E-3</v>
      </c>
      <c r="L88" s="319">
        <v>4.4759736875354316E-3</v>
      </c>
      <c r="M88" s="319">
        <v>7.1112902143608391E-3</v>
      </c>
      <c r="N88" s="319">
        <v>8.6979674835297796E-3</v>
      </c>
      <c r="O88" s="319">
        <v>8.6979674835297796E-3</v>
      </c>
      <c r="P88" s="319">
        <v>8.6979674835297796E-3</v>
      </c>
      <c r="Q88" s="319">
        <v>8.6979674835297796E-3</v>
      </c>
      <c r="R88" s="319">
        <v>8.6979674835297796E-3</v>
      </c>
      <c r="S88" s="319">
        <v>8.6979674835297796E-3</v>
      </c>
      <c r="T88" s="319">
        <v>8.6979674835297796E-3</v>
      </c>
      <c r="U88" s="319">
        <v>8.6979674835297796E-3</v>
      </c>
    </row>
    <row r="89" spans="1:21" ht="14.4" x14ac:dyDescent="0.3">
      <c r="A89" s="43">
        <v>27</v>
      </c>
      <c r="B89" s="43"/>
      <c r="C89"/>
      <c r="D89" s="319">
        <v>0.19614866404917825</v>
      </c>
      <c r="E89" s="319">
        <v>0.14917780217035079</v>
      </c>
      <c r="F89" s="319">
        <v>0.21833131228588779</v>
      </c>
      <c r="G89" s="319">
        <v>0.15284212331591746</v>
      </c>
      <c r="H89" s="319">
        <v>0.21062848488394514</v>
      </c>
      <c r="I89" s="319">
        <v>0.23376038991655407</v>
      </c>
      <c r="J89" s="319">
        <v>0.20632487779830069</v>
      </c>
      <c r="K89" s="319">
        <v>0.15868910818921259</v>
      </c>
      <c r="L89" s="319">
        <v>0.13222103117804337</v>
      </c>
      <c r="M89" s="319">
        <v>0.11292487706025747</v>
      </c>
      <c r="N89" s="319">
        <v>9.0320623525074584E-2</v>
      </c>
      <c r="O89" s="319">
        <v>9.0320623525074584E-2</v>
      </c>
      <c r="P89" s="319">
        <v>9.0320623525074584E-2</v>
      </c>
      <c r="Q89" s="319">
        <v>9.0320623525074584E-2</v>
      </c>
      <c r="R89" s="319">
        <v>9.0320623525074584E-2</v>
      </c>
      <c r="S89" s="319">
        <v>9.0320623525074584E-2</v>
      </c>
      <c r="T89" s="319">
        <v>9.0320623525074584E-2</v>
      </c>
      <c r="U89" s="319">
        <v>9.0320623525074584E-2</v>
      </c>
    </row>
    <row r="90" spans="1:21" ht="14.4" x14ac:dyDescent="0.3">
      <c r="A90" s="43">
        <v>28</v>
      </c>
      <c r="B90" s="43"/>
      <c r="C90"/>
      <c r="D90" s="319">
        <v>2.4676318987774382E-2</v>
      </c>
      <c r="E90" s="319">
        <v>2.0604293910983433E-3</v>
      </c>
      <c r="F90" s="319">
        <v>1.0075157642158541E-2</v>
      </c>
      <c r="G90" s="319">
        <v>4.0954226297566692E-3</v>
      </c>
      <c r="H90" s="319">
        <v>1.5528172189634619E-2</v>
      </c>
      <c r="I90" s="319">
        <v>4.5453581254930034E-3</v>
      </c>
      <c r="J90" s="319">
        <v>4.0900941075291408E-3</v>
      </c>
      <c r="K90" s="319">
        <v>5.5305869605729715E-3</v>
      </c>
      <c r="L90" s="319">
        <v>5.8692714581984303E-3</v>
      </c>
      <c r="M90" s="319">
        <v>1.1388109278563426E-3</v>
      </c>
      <c r="N90" s="319">
        <v>5.274941161339042E-3</v>
      </c>
      <c r="O90" s="319">
        <v>5.274941161339042E-3</v>
      </c>
      <c r="P90" s="319">
        <v>5.274941161339042E-3</v>
      </c>
      <c r="Q90" s="319">
        <v>5.274941161339042E-3</v>
      </c>
      <c r="R90" s="319">
        <v>5.274941161339042E-3</v>
      </c>
      <c r="S90" s="319">
        <v>5.274941161339042E-3</v>
      </c>
      <c r="T90" s="319">
        <v>5.274941161339042E-3</v>
      </c>
      <c r="U90" s="319">
        <v>5.274941161339042E-3</v>
      </c>
    </row>
    <row r="91" spans="1:21" ht="14.4" x14ac:dyDescent="0.3">
      <c r="A91" s="43">
        <v>29</v>
      </c>
      <c r="B91" s="43"/>
      <c r="C91"/>
      <c r="D91" s="319">
        <v>4.0787848178104897E-3</v>
      </c>
      <c r="E91" s="319">
        <v>1.0088243098481987E-2</v>
      </c>
      <c r="F91" s="319">
        <v>2.313389964819014E-2</v>
      </c>
      <c r="G91" s="319">
        <v>6.5366180982534237E-3</v>
      </c>
      <c r="H91" s="319">
        <v>2.5396393965785496E-2</v>
      </c>
      <c r="I91" s="319">
        <v>3.2790345871643679E-2</v>
      </c>
      <c r="J91" s="319">
        <v>2.7461309792021951E-2</v>
      </c>
      <c r="K91" s="319">
        <v>1.5819577424720989E-2</v>
      </c>
      <c r="L91" s="319">
        <v>1.1408584320341973E-2</v>
      </c>
      <c r="M91" s="319">
        <v>8.2530511904299608E-3</v>
      </c>
      <c r="N91" s="319">
        <v>5.9385032650724947E-3</v>
      </c>
      <c r="O91" s="319">
        <v>5.9385032650724947E-3</v>
      </c>
      <c r="P91" s="319">
        <v>5.9385032650724947E-3</v>
      </c>
      <c r="Q91" s="319">
        <v>5.9385032650724947E-3</v>
      </c>
      <c r="R91" s="319">
        <v>5.9385032650724947E-3</v>
      </c>
      <c r="S91" s="319">
        <v>5.9385032650724947E-3</v>
      </c>
      <c r="T91" s="319">
        <v>5.9385032650724947E-3</v>
      </c>
      <c r="U91" s="319">
        <v>5.9385032650724947E-3</v>
      </c>
    </row>
    <row r="92" spans="1:21" ht="14.4" x14ac:dyDescent="0.3">
      <c r="A92" s="43">
        <v>30</v>
      </c>
      <c r="B92" s="43"/>
      <c r="C92"/>
      <c r="D92" s="319">
        <v>4.4162642363631446E-2</v>
      </c>
      <c r="E92" s="319">
        <v>4.7846853807181084E-3</v>
      </c>
      <c r="F92" s="319">
        <v>2.2680486241704066E-2</v>
      </c>
      <c r="G92" s="319">
        <v>4.0931502806429796E-3</v>
      </c>
      <c r="H92" s="319">
        <v>1.8456552091572657E-2</v>
      </c>
      <c r="I92" s="319">
        <v>3.9922506542748168E-3</v>
      </c>
      <c r="J92" s="319">
        <v>5.753408469096763E-3</v>
      </c>
      <c r="K92" s="319">
        <v>2.1807973675408189E-3</v>
      </c>
      <c r="L92" s="319">
        <v>7.462453165326731E-4</v>
      </c>
      <c r="M92" s="319">
        <v>2.8567650652421857E-4</v>
      </c>
      <c r="N92" s="319">
        <v>2.6780534259113267E-3</v>
      </c>
      <c r="O92" s="319">
        <v>2.6780534259113267E-3</v>
      </c>
      <c r="P92" s="319">
        <v>2.6780534259113267E-3</v>
      </c>
      <c r="Q92" s="319">
        <v>2.6780534259113267E-3</v>
      </c>
      <c r="R92" s="319">
        <v>2.6780534259113267E-3</v>
      </c>
      <c r="S92" s="319">
        <v>2.6780534259113267E-3</v>
      </c>
      <c r="T92" s="319">
        <v>2.6780534259113267E-3</v>
      </c>
      <c r="U92" s="319">
        <v>2.6780534259113267E-3</v>
      </c>
    </row>
    <row r="93" spans="1:21" ht="14.4" x14ac:dyDescent="0.3">
      <c r="A93" s="43">
        <v>31</v>
      </c>
      <c r="B93" s="43"/>
      <c r="C93"/>
      <c r="D93" s="319">
        <v>5.2246592604650189E-3</v>
      </c>
      <c r="E93" s="319">
        <v>7.4380848269283524E-3</v>
      </c>
      <c r="F93" s="319">
        <v>5.7287346020364581E-3</v>
      </c>
      <c r="G93" s="319">
        <v>5.8486500985940699E-3</v>
      </c>
      <c r="H93" s="319">
        <v>2.4819179407017385E-2</v>
      </c>
      <c r="I93" s="319">
        <v>4.9360114611128721E-2</v>
      </c>
      <c r="J93" s="319">
        <v>2.7711695738433212E-2</v>
      </c>
      <c r="K93" s="319">
        <v>2.0616516022899687E-2</v>
      </c>
      <c r="L93" s="319">
        <v>1.3919435159544413E-2</v>
      </c>
      <c r="M93" s="319">
        <v>9.8141847798012827E-3</v>
      </c>
      <c r="N93" s="319">
        <v>7.0034771903754968E-3</v>
      </c>
      <c r="O93" s="319">
        <v>7.0034771903754968E-3</v>
      </c>
      <c r="P93" s="319">
        <v>7.0034771903754968E-3</v>
      </c>
      <c r="Q93" s="319">
        <v>7.0034771903754968E-3</v>
      </c>
      <c r="R93" s="319">
        <v>7.0034771903754968E-3</v>
      </c>
      <c r="S93" s="319">
        <v>7.0034771903754968E-3</v>
      </c>
      <c r="T93" s="319">
        <v>7.0034771903754968E-3</v>
      </c>
      <c r="U93" s="319">
        <v>7.0034771903754968E-3</v>
      </c>
    </row>
    <row r="94" spans="1:21" ht="14.4" x14ac:dyDescent="0.3">
      <c r="A94" s="43">
        <v>32</v>
      </c>
      <c r="B94" s="43"/>
      <c r="C94"/>
      <c r="D94" s="319">
        <v>3.3700705844867895E-2</v>
      </c>
      <c r="E94" s="319">
        <v>1.4235174516066502E-2</v>
      </c>
      <c r="F94" s="319">
        <v>7.1095642379183617E-3</v>
      </c>
      <c r="G94" s="319">
        <v>5.0984458986280297E-3</v>
      </c>
      <c r="H94" s="319">
        <v>8.3148634285157043E-3</v>
      </c>
      <c r="I94" s="319">
        <v>5.9755573900333731E-3</v>
      </c>
      <c r="J94" s="319">
        <v>5.7701149312410121E-3</v>
      </c>
      <c r="K94" s="319">
        <v>6.2633961909170513E-3</v>
      </c>
      <c r="L94" s="319">
        <v>6.3277815339881152E-3</v>
      </c>
      <c r="M94" s="319">
        <v>3.8618753687913606E-4</v>
      </c>
      <c r="N94" s="319">
        <v>8.0770230250295991E-3</v>
      </c>
      <c r="O94" s="319">
        <v>8.0770230250295991E-3</v>
      </c>
      <c r="P94" s="319">
        <v>8.0770230250295991E-3</v>
      </c>
      <c r="Q94" s="319">
        <v>8.0770230250295991E-3</v>
      </c>
      <c r="R94" s="319">
        <v>8.0770230250295991E-3</v>
      </c>
      <c r="S94" s="319">
        <v>8.0770230250295991E-3</v>
      </c>
      <c r="T94" s="319">
        <v>8.0770230250295991E-3</v>
      </c>
      <c r="U94" s="319">
        <v>8.0770230250295991E-3</v>
      </c>
    </row>
    <row r="95" spans="1:21" ht="14.4" x14ac:dyDescent="0.3">
      <c r="A95" s="43">
        <v>33</v>
      </c>
      <c r="B95" s="43"/>
      <c r="C95"/>
      <c r="D95" s="319">
        <v>4.4712168606660309E-2</v>
      </c>
      <c r="E95" s="319">
        <v>0.14986970445843439</v>
      </c>
      <c r="F95" s="319">
        <v>0.1636379911137498</v>
      </c>
      <c r="G95" s="319">
        <v>0.1307375938896099</v>
      </c>
      <c r="H95" s="319">
        <v>0.21884779549998598</v>
      </c>
      <c r="I95" s="319">
        <v>0.24801366531957902</v>
      </c>
      <c r="J95" s="319">
        <v>0.17654136858776567</v>
      </c>
      <c r="K95" s="319">
        <v>0.14043925452911438</v>
      </c>
      <c r="L95" s="319">
        <v>0.11244755668593129</v>
      </c>
      <c r="M95" s="319">
        <v>9.4879098519041749E-2</v>
      </c>
      <c r="N95" s="319">
        <v>7.0097094849796038E-2</v>
      </c>
      <c r="O95" s="319">
        <v>7.0097094849796038E-2</v>
      </c>
      <c r="P95" s="319">
        <v>7.0097094849796038E-2</v>
      </c>
      <c r="Q95" s="319">
        <v>7.0097094849796038E-2</v>
      </c>
      <c r="R95" s="319">
        <v>7.0097094849796038E-2</v>
      </c>
      <c r="S95" s="319">
        <v>7.0097094849796038E-2</v>
      </c>
      <c r="T95" s="319">
        <v>7.0097094849796038E-2</v>
      </c>
      <c r="U95" s="319">
        <v>7.0097094849796038E-2</v>
      </c>
    </row>
    <row r="96" spans="1:21" ht="14.4" x14ac:dyDescent="0.3">
      <c r="A96" s="43">
        <v>34</v>
      </c>
      <c r="B96" s="43"/>
      <c r="C96"/>
      <c r="D96" s="320">
        <v>4.9456363965376331E-2</v>
      </c>
      <c r="E96" s="320">
        <v>0.10838512459367143</v>
      </c>
      <c r="F96" s="320">
        <v>0.10130368887937739</v>
      </c>
      <c r="G96" s="320">
        <v>8.8458930610672587E-2</v>
      </c>
      <c r="H96" s="320">
        <v>0.16391295064000269</v>
      </c>
      <c r="I96" s="320">
        <v>0.17902381042536936</v>
      </c>
      <c r="J96" s="320">
        <v>0.12755386422948173</v>
      </c>
      <c r="K96" s="320">
        <v>0.10310522509675345</v>
      </c>
      <c r="L96" s="320">
        <v>8.363283349937127E-2</v>
      </c>
      <c r="M96" s="320">
        <v>7.0480199362439142E-2</v>
      </c>
      <c r="N96" s="320">
        <v>5.2665614583282859E-2</v>
      </c>
      <c r="O96" s="320">
        <v>5.2665614583282859E-2</v>
      </c>
      <c r="P96" s="320">
        <v>5.2665614583282859E-2</v>
      </c>
      <c r="Q96" s="320">
        <v>5.2665614583282859E-2</v>
      </c>
      <c r="R96" s="320">
        <v>5.2665614583282859E-2</v>
      </c>
      <c r="S96" s="320">
        <v>5.2665614583282859E-2</v>
      </c>
      <c r="T96" s="320">
        <v>5.2665614583282859E-2</v>
      </c>
      <c r="U96" s="320">
        <v>5.2665614583282859E-2</v>
      </c>
    </row>
    <row r="97" spans="1:21" ht="14.4" x14ac:dyDescent="0.3">
      <c r="A97" s="43">
        <v>35</v>
      </c>
      <c r="B97" s="43"/>
      <c r="C97"/>
      <c r="D97" s="319">
        <v>3.410516022912522</v>
      </c>
      <c r="E97" s="319">
        <v>1.6958646213492923</v>
      </c>
      <c r="F97" s="319">
        <v>1.1328060002506173</v>
      </c>
      <c r="G97" s="319">
        <v>0.9975917984438406</v>
      </c>
      <c r="H97" s="319">
        <v>0.83578243912807804</v>
      </c>
      <c r="I97" s="319">
        <v>0.7061276126299455</v>
      </c>
      <c r="J97" s="319">
        <v>0.54722443718497826</v>
      </c>
      <c r="K97" s="319">
        <v>0.51489641483931825</v>
      </c>
      <c r="L97" s="319">
        <v>0.47648238151537425</v>
      </c>
      <c r="M97" s="319">
        <v>0.44098408383639176</v>
      </c>
      <c r="N97" s="319">
        <v>0.38895264613748393</v>
      </c>
      <c r="O97" s="319">
        <v>0.38895264613748393</v>
      </c>
      <c r="P97" s="319">
        <v>0.38895264613748393</v>
      </c>
      <c r="Q97" s="319">
        <v>0.38895264613748393</v>
      </c>
      <c r="R97" s="319">
        <v>0.38895264613748393</v>
      </c>
      <c r="S97" s="319">
        <v>0.38895264613748393</v>
      </c>
      <c r="T97" s="319">
        <v>0.38895264613748393</v>
      </c>
      <c r="U97" s="319">
        <v>0.38895264613748393</v>
      </c>
    </row>
    <row r="98" spans="1:21" ht="14.4" x14ac:dyDescent="0.3">
      <c r="A98" s="43">
        <v>36</v>
      </c>
      <c r="B98" s="43"/>
      <c r="C98"/>
      <c r="D98" s="320">
        <v>4.9456363965376331E-2</v>
      </c>
      <c r="E98" s="320">
        <v>0.10838512459367143</v>
      </c>
      <c r="F98" s="320">
        <v>0.10130368887937739</v>
      </c>
      <c r="G98" s="320">
        <v>8.8458930610672587E-2</v>
      </c>
      <c r="H98" s="320">
        <v>0.16391295064000269</v>
      </c>
      <c r="I98" s="320">
        <v>0.17902381042536936</v>
      </c>
      <c r="J98" s="320">
        <v>0.12755386422948173</v>
      </c>
      <c r="K98" s="320">
        <v>0.10310522509675345</v>
      </c>
      <c r="L98" s="320">
        <v>8.363283349937127E-2</v>
      </c>
      <c r="M98" s="320">
        <v>7.0480199362439142E-2</v>
      </c>
      <c r="N98" s="320">
        <v>5.2665614583282859E-2</v>
      </c>
      <c r="O98" s="320">
        <v>5.2665614583282859E-2</v>
      </c>
      <c r="P98" s="320">
        <v>5.2665614583282859E-2</v>
      </c>
      <c r="Q98" s="320">
        <v>5.2665614583282859E-2</v>
      </c>
      <c r="R98" s="320">
        <v>5.2665614583282859E-2</v>
      </c>
      <c r="S98" s="320">
        <v>5.2665614583282859E-2</v>
      </c>
      <c r="T98" s="320">
        <v>5.2665614583282859E-2</v>
      </c>
      <c r="U98" s="320">
        <v>5.2665614583282859E-2</v>
      </c>
    </row>
    <row r="99" spans="1:21" ht="14.4" x14ac:dyDescent="0.3">
      <c r="A99" s="43">
        <v>37</v>
      </c>
      <c r="B99" s="43"/>
      <c r="C99"/>
      <c r="D99" s="319">
        <v>2.5783099792018045</v>
      </c>
      <c r="E99" s="319">
        <v>1.314453693999373</v>
      </c>
      <c r="F99" s="319">
        <v>0.92035956675477049</v>
      </c>
      <c r="G99" s="319">
        <v>0.57517527311248606</v>
      </c>
      <c r="H99" s="319">
        <v>0.42703397780104324</v>
      </c>
      <c r="I99" s="319">
        <v>0.32525391648512963</v>
      </c>
      <c r="J99" s="319">
        <v>0.41831386174243362</v>
      </c>
      <c r="K99" s="319">
        <v>0.36558904520752233</v>
      </c>
      <c r="L99" s="319">
        <v>0.33390972742692632</v>
      </c>
      <c r="M99" s="319">
        <v>0.30805691229550408</v>
      </c>
      <c r="N99" s="319">
        <v>0.27227903162915568</v>
      </c>
      <c r="O99" s="319">
        <v>0.27227903162915568</v>
      </c>
      <c r="P99" s="319">
        <v>0.27227903162915568</v>
      </c>
      <c r="Q99" s="319">
        <v>0.27227903162915568</v>
      </c>
      <c r="R99" s="319">
        <v>0.27227903162915568</v>
      </c>
      <c r="S99" s="319">
        <v>0.27227903162915568</v>
      </c>
      <c r="T99" s="319">
        <v>0.27227903162915568</v>
      </c>
      <c r="U99" s="319">
        <v>0.27227903162915568</v>
      </c>
    </row>
    <row r="100" spans="1:21" ht="14.4" x14ac:dyDescent="0.3">
      <c r="A100" s="43">
        <v>38</v>
      </c>
      <c r="B100" s="43"/>
      <c r="C100"/>
      <c r="D100" s="320">
        <v>4.9456363965376331E-2</v>
      </c>
      <c r="E100" s="320">
        <v>0.10838512459367143</v>
      </c>
      <c r="F100" s="320">
        <v>0.10130368887937739</v>
      </c>
      <c r="G100" s="320">
        <v>8.8458930610672587E-2</v>
      </c>
      <c r="H100" s="320">
        <v>0.16391295064000269</v>
      </c>
      <c r="I100" s="320">
        <v>0.17902381042536936</v>
      </c>
      <c r="J100" s="320">
        <v>0.12755386422948173</v>
      </c>
      <c r="K100" s="320">
        <v>0.10310522509675345</v>
      </c>
      <c r="L100" s="320">
        <v>8.363283349937127E-2</v>
      </c>
      <c r="M100" s="320">
        <v>7.0480199362439142E-2</v>
      </c>
      <c r="N100" s="320">
        <v>5.2665614583282859E-2</v>
      </c>
      <c r="O100" s="320">
        <v>5.2665614583282859E-2</v>
      </c>
      <c r="P100" s="320">
        <v>5.2665614583282859E-2</v>
      </c>
      <c r="Q100" s="320">
        <v>5.2665614583282859E-2</v>
      </c>
      <c r="R100" s="320">
        <v>5.2665614583282859E-2</v>
      </c>
      <c r="S100" s="320">
        <v>5.2665614583282859E-2</v>
      </c>
      <c r="T100" s="320">
        <v>5.2665614583282859E-2</v>
      </c>
      <c r="U100" s="320">
        <v>5.2665614583282859E-2</v>
      </c>
    </row>
    <row r="101" spans="1:21" ht="14.4" x14ac:dyDescent="0.3">
      <c r="A101" s="43">
        <v>39</v>
      </c>
      <c r="B101" s="43"/>
      <c r="C101"/>
      <c r="D101" s="319">
        <v>9.387292818321398E-2</v>
      </c>
      <c r="E101" s="319">
        <v>0.11060856872598106</v>
      </c>
      <c r="F101" s="319">
        <v>0.12385091071682773</v>
      </c>
      <c r="G101" s="319">
        <v>8.7026245277229269E-2</v>
      </c>
      <c r="H101" s="319">
        <v>0.13155958302885115</v>
      </c>
      <c r="I101" s="319">
        <v>0.14794230741724032</v>
      </c>
      <c r="J101" s="319">
        <v>0.14139159028757337</v>
      </c>
      <c r="K101" s="319">
        <v>0.10603763860392455</v>
      </c>
      <c r="L101" s="319">
        <v>8.6520295298624303E-2</v>
      </c>
      <c r="M101" s="319">
        <v>7.3003326853771672E-2</v>
      </c>
      <c r="N101" s="319">
        <v>5.8371872467923601E-2</v>
      </c>
      <c r="O101" s="319">
        <v>5.8371872467923601E-2</v>
      </c>
      <c r="P101" s="319">
        <v>5.8371872467923601E-2</v>
      </c>
      <c r="Q101" s="319">
        <v>5.8371872467923601E-2</v>
      </c>
      <c r="R101" s="319">
        <v>5.8371872467923601E-2</v>
      </c>
      <c r="S101" s="319">
        <v>5.8371872467923601E-2</v>
      </c>
      <c r="T101" s="319">
        <v>5.8371872467923601E-2</v>
      </c>
      <c r="U101" s="319">
        <v>5.8371872467923601E-2</v>
      </c>
    </row>
    <row r="102" spans="1:21" ht="14.4" x14ac:dyDescent="0.3">
      <c r="A102" s="43">
        <v>40</v>
      </c>
      <c r="B102" s="43"/>
      <c r="C102"/>
      <c r="D102" s="320">
        <v>4.9456363965376331E-2</v>
      </c>
      <c r="E102" s="320">
        <v>0.10838512459367143</v>
      </c>
      <c r="F102" s="320">
        <v>0.10130368887937739</v>
      </c>
      <c r="G102" s="320">
        <v>8.8458930610672587E-2</v>
      </c>
      <c r="H102" s="320">
        <v>0.16391295064000269</v>
      </c>
      <c r="I102" s="320">
        <v>0.17902381042536936</v>
      </c>
      <c r="J102" s="320">
        <v>0.12755386422948173</v>
      </c>
      <c r="K102" s="320">
        <v>0.10310522509675345</v>
      </c>
      <c r="L102" s="320">
        <v>8.363283349937127E-2</v>
      </c>
      <c r="M102" s="320">
        <v>7.0480199362439142E-2</v>
      </c>
      <c r="N102" s="320">
        <v>5.2665614583282859E-2</v>
      </c>
      <c r="O102" s="320">
        <v>5.2665614583282859E-2</v>
      </c>
      <c r="P102" s="320">
        <v>5.2665614583282859E-2</v>
      </c>
      <c r="Q102" s="320">
        <v>5.2665614583282859E-2</v>
      </c>
      <c r="R102" s="320">
        <v>5.2665614583282859E-2</v>
      </c>
      <c r="S102" s="320">
        <v>5.2665614583282859E-2</v>
      </c>
      <c r="T102" s="320">
        <v>5.2665614583282859E-2</v>
      </c>
      <c r="U102" s="320">
        <v>5.2665614583282859E-2</v>
      </c>
    </row>
    <row r="103" spans="1:21" ht="14.4" x14ac:dyDescent="0.3">
      <c r="A103" s="43">
        <v>41</v>
      </c>
      <c r="B103" s="43"/>
      <c r="C103"/>
      <c r="D103" s="319">
        <v>9.9703141602343944E-3</v>
      </c>
      <c r="E103" s="319">
        <v>5.453134799355162E-3</v>
      </c>
      <c r="F103" s="319">
        <v>1.7643469661330929E-2</v>
      </c>
      <c r="G103" s="319">
        <v>5.9160351986794349E-3</v>
      </c>
      <c r="H103" s="319">
        <v>2.2045173865516181E-2</v>
      </c>
      <c r="I103" s="319">
        <v>2.603310225766543E-2</v>
      </c>
      <c r="J103" s="319">
        <v>2.6001344926470625E-2</v>
      </c>
      <c r="K103" s="319">
        <v>1.4356410695234849E-2</v>
      </c>
      <c r="L103" s="319">
        <v>1.16513850349446E-2</v>
      </c>
      <c r="M103" s="319">
        <v>8.3339516742020302E-3</v>
      </c>
      <c r="N103" s="319">
        <v>6.3741676487925033E-3</v>
      </c>
      <c r="O103" s="319">
        <v>6.3741676487925033E-3</v>
      </c>
      <c r="P103" s="319">
        <v>6.3741676487925033E-3</v>
      </c>
      <c r="Q103" s="319">
        <v>6.3741676487925033E-3</v>
      </c>
      <c r="R103" s="319">
        <v>6.3741676487925033E-3</v>
      </c>
      <c r="S103" s="319">
        <v>6.3741676487925033E-3</v>
      </c>
      <c r="T103" s="319">
        <v>6.3741676487925033E-3</v>
      </c>
      <c r="U103" s="319">
        <v>6.3741676487925033E-3</v>
      </c>
    </row>
    <row r="104" spans="1:21" ht="14.4" x14ac:dyDescent="0.3">
      <c r="A104" s="43">
        <v>42</v>
      </c>
      <c r="B104" s="43"/>
      <c r="C104"/>
      <c r="D104" s="320">
        <v>4.9456363965376331E-2</v>
      </c>
      <c r="E104" s="320">
        <v>0.10838512459367143</v>
      </c>
      <c r="F104" s="320">
        <v>0.10130368887937739</v>
      </c>
      <c r="G104" s="320">
        <v>8.8458930610672587E-2</v>
      </c>
      <c r="H104" s="320">
        <v>0.16391295064000269</v>
      </c>
      <c r="I104" s="320">
        <v>0.17902381042536936</v>
      </c>
      <c r="J104" s="320">
        <v>0.12755386422948173</v>
      </c>
      <c r="K104" s="320">
        <v>0.10310522509675345</v>
      </c>
      <c r="L104" s="320">
        <v>8.363283349937127E-2</v>
      </c>
      <c r="M104" s="320">
        <v>7.0480199362439142E-2</v>
      </c>
      <c r="N104" s="320">
        <v>5.2665614583282859E-2</v>
      </c>
      <c r="O104" s="320">
        <v>5.2665614583282859E-2</v>
      </c>
      <c r="P104" s="320">
        <v>5.2665614583282859E-2</v>
      </c>
      <c r="Q104" s="320">
        <v>5.2665614583282859E-2</v>
      </c>
      <c r="R104" s="320">
        <v>5.2665614583282859E-2</v>
      </c>
      <c r="S104" s="320">
        <v>5.2665614583282859E-2</v>
      </c>
      <c r="T104" s="320">
        <v>5.2665614583282859E-2</v>
      </c>
      <c r="U104" s="320">
        <v>5.2665614583282859E-2</v>
      </c>
    </row>
    <row r="105" spans="1:21" ht="14.4" x14ac:dyDescent="0.3">
      <c r="A105" s="43">
        <v>43</v>
      </c>
      <c r="B105" s="43"/>
      <c r="C105"/>
      <c r="D105" s="319">
        <v>5.8634771212939382E-3</v>
      </c>
      <c r="E105" s="319">
        <v>1.0850582802151645E-2</v>
      </c>
      <c r="F105" s="319">
        <v>1.094255360437469E-2</v>
      </c>
      <c r="G105" s="319">
        <v>6.0325024328109142E-3</v>
      </c>
      <c r="H105" s="319">
        <v>2.641836045804263E-2</v>
      </c>
      <c r="I105" s="319">
        <v>5.0864257493053809E-2</v>
      </c>
      <c r="J105" s="319">
        <v>2.7314941744864759E-2</v>
      </c>
      <c r="K105" s="319">
        <v>2.0634174468741773E-2</v>
      </c>
      <c r="L105" s="319">
        <v>1.4324152719035805E-2</v>
      </c>
      <c r="M105" s="319">
        <v>9.8978776784690147E-3</v>
      </c>
      <c r="N105" s="319">
        <v>6.4947102369656362E-3</v>
      </c>
      <c r="O105" s="319">
        <v>6.4947102369656362E-3</v>
      </c>
      <c r="P105" s="319">
        <v>6.4947102369656362E-3</v>
      </c>
      <c r="Q105" s="319">
        <v>6.4947102369656362E-3</v>
      </c>
      <c r="R105" s="319">
        <v>6.4947102369656362E-3</v>
      </c>
      <c r="S105" s="319">
        <v>6.4947102369656362E-3</v>
      </c>
      <c r="T105" s="319">
        <v>6.4947102369656362E-3</v>
      </c>
      <c r="U105" s="319">
        <v>6.4947102369656362E-3</v>
      </c>
    </row>
    <row r="106" spans="1:21" ht="14.4" x14ac:dyDescent="0.3">
      <c r="A106" s="43">
        <v>44</v>
      </c>
      <c r="B106" s="43"/>
      <c r="C106"/>
      <c r="D106" s="320">
        <v>4.9456363965376331E-2</v>
      </c>
      <c r="E106" s="320">
        <v>0.10838512459367143</v>
      </c>
      <c r="F106" s="320">
        <v>0.10130368887937739</v>
      </c>
      <c r="G106" s="320">
        <v>8.8458930610672587E-2</v>
      </c>
      <c r="H106" s="320">
        <v>0.16391295064000269</v>
      </c>
      <c r="I106" s="320">
        <v>0.17902381042536936</v>
      </c>
      <c r="J106" s="320">
        <v>0.12755386422948173</v>
      </c>
      <c r="K106" s="320">
        <v>0.10310522509675345</v>
      </c>
      <c r="L106" s="320">
        <v>8.363283349937127E-2</v>
      </c>
      <c r="M106" s="320">
        <v>7.0480199362439142E-2</v>
      </c>
      <c r="N106" s="320">
        <v>5.2665614583282859E-2</v>
      </c>
      <c r="O106" s="320">
        <v>5.2665614583282859E-2</v>
      </c>
      <c r="P106" s="320">
        <v>5.2665614583282859E-2</v>
      </c>
      <c r="Q106" s="320">
        <v>5.2665614583282859E-2</v>
      </c>
      <c r="R106" s="320">
        <v>5.2665614583282859E-2</v>
      </c>
      <c r="S106" s="320">
        <v>5.2665614583282859E-2</v>
      </c>
      <c r="T106" s="320">
        <v>5.2665614583282859E-2</v>
      </c>
      <c r="U106" s="320">
        <v>5.2665614583282859E-2</v>
      </c>
    </row>
    <row r="107" spans="1:21" ht="14.4" x14ac:dyDescent="0.3">
      <c r="A107" s="43">
        <v>45</v>
      </c>
      <c r="B107" s="43"/>
      <c r="C107"/>
      <c r="D107" s="319">
        <v>4.9347712708809097E-2</v>
      </c>
      <c r="E107" s="319">
        <v>0.10839554910336398</v>
      </c>
      <c r="F107" s="319">
        <v>0.10131318983087939</v>
      </c>
      <c r="G107" s="319">
        <v>8.8403361533414063E-2</v>
      </c>
      <c r="H107" s="319">
        <v>0.16390179115851258</v>
      </c>
      <c r="I107" s="319">
        <v>0.17906170628760129</v>
      </c>
      <c r="J107" s="319">
        <v>0.12757186041867111</v>
      </c>
      <c r="K107" s="319">
        <v>0.10311955962647895</v>
      </c>
      <c r="L107" s="319">
        <v>8.3642515622852173E-2</v>
      </c>
      <c r="M107" s="319">
        <v>7.0486755454335789E-2</v>
      </c>
      <c r="N107" s="319">
        <v>5.266999497138778E-2</v>
      </c>
      <c r="O107" s="319">
        <v>5.266999497138778E-2</v>
      </c>
      <c r="P107" s="319">
        <v>5.266999497138778E-2</v>
      </c>
      <c r="Q107" s="319">
        <v>5.266999497138778E-2</v>
      </c>
      <c r="R107" s="319">
        <v>5.266999497138778E-2</v>
      </c>
      <c r="S107" s="319">
        <v>5.266999497138778E-2</v>
      </c>
      <c r="T107" s="319">
        <v>5.266999497138778E-2</v>
      </c>
      <c r="U107" s="319">
        <v>5.266999497138778E-2</v>
      </c>
    </row>
    <row r="108" spans="1:21" ht="14.4" x14ac:dyDescent="0.3">
      <c r="A108" s="43">
        <v>46</v>
      </c>
      <c r="B108" s="43"/>
      <c r="C108"/>
      <c r="D108" s="320">
        <v>4.9456363965376331E-2</v>
      </c>
      <c r="E108" s="320">
        <v>0.10838512459367143</v>
      </c>
      <c r="F108" s="320">
        <v>0.10130368887937739</v>
      </c>
      <c r="G108" s="320">
        <v>8.8458930610672587E-2</v>
      </c>
      <c r="H108" s="320">
        <v>0.16391295064000269</v>
      </c>
      <c r="I108" s="320">
        <v>0.17902381042536936</v>
      </c>
      <c r="J108" s="320">
        <v>0.12755386422948173</v>
      </c>
      <c r="K108" s="320">
        <v>0.10310522509675345</v>
      </c>
      <c r="L108" s="320">
        <v>8.363283349937127E-2</v>
      </c>
      <c r="M108" s="320">
        <v>7.0480199362439142E-2</v>
      </c>
      <c r="N108" s="320">
        <v>5.2665614583282859E-2</v>
      </c>
      <c r="O108" s="320">
        <v>5.2665614583282859E-2</v>
      </c>
      <c r="P108" s="320">
        <v>5.2665614583282859E-2</v>
      </c>
      <c r="Q108" s="320">
        <v>5.2665614583282859E-2</v>
      </c>
      <c r="R108" s="320">
        <v>5.2665614583282859E-2</v>
      </c>
      <c r="S108" s="320">
        <v>5.2665614583282859E-2</v>
      </c>
      <c r="T108" s="320">
        <v>5.2665614583282859E-2</v>
      </c>
      <c r="U108" s="320">
        <v>5.2665614583282859E-2</v>
      </c>
    </row>
    <row r="109" spans="1:21" ht="14.4" x14ac:dyDescent="0.3">
      <c r="A109" s="43">
        <v>47</v>
      </c>
      <c r="B109" s="43"/>
      <c r="C109"/>
      <c r="D109" s="319">
        <v>1.9494807857850642</v>
      </c>
      <c r="E109" s="319">
        <v>0.84014115105026244</v>
      </c>
      <c r="F109" s="319">
        <v>0.59741421933457972</v>
      </c>
      <c r="G109" s="319">
        <v>0.51690871205205913</v>
      </c>
      <c r="H109" s="319">
        <v>0.41050804591671364</v>
      </c>
      <c r="I109" s="319">
        <v>0.33981521394902775</v>
      </c>
      <c r="J109" s="319">
        <v>0.28263760484509165</v>
      </c>
      <c r="K109" s="319">
        <v>0.2773194718622034</v>
      </c>
      <c r="L109" s="319">
        <v>0.26481765696997961</v>
      </c>
      <c r="M109" s="319">
        <v>0.25050696422006924</v>
      </c>
      <c r="N109" s="319">
        <v>0.22846875496985519</v>
      </c>
      <c r="O109" s="319">
        <v>0.22846875496985519</v>
      </c>
      <c r="P109" s="319">
        <v>0.22846875496985519</v>
      </c>
      <c r="Q109" s="319">
        <v>0.22846875496985519</v>
      </c>
      <c r="R109" s="319">
        <v>0.22846875496985519</v>
      </c>
      <c r="S109" s="319">
        <v>0.22846875496985519</v>
      </c>
      <c r="T109" s="319">
        <v>0.22846875496985519</v>
      </c>
      <c r="U109" s="319">
        <v>0.22846875496985519</v>
      </c>
    </row>
    <row r="110" spans="1:21" ht="14.4" x14ac:dyDescent="0.3">
      <c r="A110" s="43">
        <v>48</v>
      </c>
      <c r="B110" s="43"/>
      <c r="C110"/>
      <c r="D110" s="320">
        <v>4.9456363965376331E-2</v>
      </c>
      <c r="E110" s="320">
        <v>0.10838512459367143</v>
      </c>
      <c r="F110" s="320">
        <v>0.10130368887937739</v>
      </c>
      <c r="G110" s="320">
        <v>8.8458930610672587E-2</v>
      </c>
      <c r="H110" s="320">
        <v>0.16391295064000269</v>
      </c>
      <c r="I110" s="320">
        <v>0.17902381042536936</v>
      </c>
      <c r="J110" s="320">
        <v>0.12755386422948173</v>
      </c>
      <c r="K110" s="320">
        <v>0.10310522509675345</v>
      </c>
      <c r="L110" s="320">
        <v>8.363283349937127E-2</v>
      </c>
      <c r="M110" s="320">
        <v>7.0480199362439142E-2</v>
      </c>
      <c r="N110" s="320">
        <v>5.2665614583282859E-2</v>
      </c>
      <c r="O110" s="320">
        <v>5.2665614583282859E-2</v>
      </c>
      <c r="P110" s="320">
        <v>5.2665614583282859E-2</v>
      </c>
      <c r="Q110" s="320">
        <v>5.2665614583282859E-2</v>
      </c>
      <c r="R110" s="320">
        <v>5.2665614583282859E-2</v>
      </c>
      <c r="S110" s="320">
        <v>5.2665614583282859E-2</v>
      </c>
      <c r="T110" s="320">
        <v>5.2665614583282859E-2</v>
      </c>
      <c r="U110" s="320">
        <v>5.2665614583282859E-2</v>
      </c>
    </row>
    <row r="111" spans="1:21" ht="14.4" x14ac:dyDescent="0.3">
      <c r="A111" s="43">
        <v>49</v>
      </c>
      <c r="B111" s="43"/>
      <c r="C111"/>
      <c r="D111" s="319">
        <v>1.6137592820505609</v>
      </c>
      <c r="E111" s="319">
        <v>0.64159007502098331</v>
      </c>
      <c r="F111" s="319">
        <v>0.44211075711792147</v>
      </c>
      <c r="G111" s="319">
        <v>0.32705223448071025</v>
      </c>
      <c r="H111" s="319">
        <v>0.16811041380484404</v>
      </c>
      <c r="I111" s="319">
        <v>0.11257297112406094</v>
      </c>
      <c r="J111" s="319">
        <v>0.17976058455066235</v>
      </c>
      <c r="K111" s="319">
        <v>0.157082722991402</v>
      </c>
      <c r="L111" s="319">
        <v>0.14829367734761781</v>
      </c>
      <c r="M111" s="319">
        <v>0.14097289528987969</v>
      </c>
      <c r="N111" s="319">
        <v>0.13513963232692963</v>
      </c>
      <c r="O111" s="319">
        <v>0.13513963232692963</v>
      </c>
      <c r="P111" s="319">
        <v>0.13513963232692963</v>
      </c>
      <c r="Q111" s="319">
        <v>0.13513963232692963</v>
      </c>
      <c r="R111" s="319">
        <v>0.13513963232692963</v>
      </c>
      <c r="S111" s="319">
        <v>0.13513963232692963</v>
      </c>
      <c r="T111" s="319">
        <v>0.13513963232692963</v>
      </c>
      <c r="U111" s="319">
        <v>0.13513963232692963</v>
      </c>
    </row>
    <row r="112" spans="1:21" ht="14.4" x14ac:dyDescent="0.3">
      <c r="A112" s="43">
        <v>50</v>
      </c>
      <c r="B112" s="43"/>
      <c r="C112"/>
      <c r="D112" s="320">
        <v>4.9456363965376331E-2</v>
      </c>
      <c r="E112" s="320">
        <v>0.10838512459367143</v>
      </c>
      <c r="F112" s="320">
        <v>0.10130368887937739</v>
      </c>
      <c r="G112" s="320">
        <v>8.8458930610672587E-2</v>
      </c>
      <c r="H112" s="320">
        <v>0.16391295064000269</v>
      </c>
      <c r="I112" s="320">
        <v>0.17902381042536936</v>
      </c>
      <c r="J112" s="320">
        <v>0.12755386422948173</v>
      </c>
      <c r="K112" s="320">
        <v>0.10310522509675345</v>
      </c>
      <c r="L112" s="320">
        <v>8.363283349937127E-2</v>
      </c>
      <c r="M112" s="320">
        <v>7.0480199362439142E-2</v>
      </c>
      <c r="N112" s="320">
        <v>5.2665614583282859E-2</v>
      </c>
      <c r="O112" s="320">
        <v>5.2665614583282859E-2</v>
      </c>
      <c r="P112" s="320">
        <v>5.2665614583282859E-2</v>
      </c>
      <c r="Q112" s="320">
        <v>5.2665614583282859E-2</v>
      </c>
      <c r="R112" s="320">
        <v>5.2665614583282859E-2</v>
      </c>
      <c r="S112" s="320">
        <v>5.2665614583282859E-2</v>
      </c>
      <c r="T112" s="320">
        <v>5.2665614583282859E-2</v>
      </c>
      <c r="U112" s="320">
        <v>5.2665614583282859E-2</v>
      </c>
    </row>
    <row r="113" spans="2:21" x14ac:dyDescent="0.25">
      <c r="D113" s="51"/>
      <c r="E113" s="32"/>
      <c r="F113" s="32"/>
      <c r="G113" s="32"/>
      <c r="H113" s="32"/>
      <c r="I113" s="32"/>
      <c r="J113" s="32"/>
      <c r="K113" s="32"/>
      <c r="L113" s="32"/>
    </row>
    <row r="114" spans="2:21" x14ac:dyDescent="0.25">
      <c r="B114" s="26" t="s">
        <v>5</v>
      </c>
      <c r="D114" s="32">
        <f t="shared" ref="D114:K114" si="7">SQRT(SUMSQ(D64:D112))</f>
        <v>73.159393407253347</v>
      </c>
      <c r="E114" s="32">
        <f t="shared" si="7"/>
        <v>24.528435362183718</v>
      </c>
      <c r="F114" s="32">
        <f t="shared" si="7"/>
        <v>14.153461281907704</v>
      </c>
      <c r="G114" s="32">
        <f t="shared" si="7"/>
        <v>11.587931895825012</v>
      </c>
      <c r="H114" s="32">
        <f t="shared" si="7"/>
        <v>11.816986349366887</v>
      </c>
      <c r="I114" s="32">
        <f t="shared" si="7"/>
        <v>11.023726943019716</v>
      </c>
      <c r="J114" s="32">
        <f t="shared" si="7"/>
        <v>8.9627915608782089</v>
      </c>
      <c r="K114" s="32">
        <f t="shared" si="7"/>
        <v>7.6561790654592494</v>
      </c>
      <c r="L114" s="32">
        <f t="shared" ref="L114:U114" si="8">SQRT(SUMSQ(L64:L112))</f>
        <v>6.7944125498739627</v>
      </c>
      <c r="M114" s="32">
        <f t="shared" si="8"/>
        <v>6.2013632624861001</v>
      </c>
      <c r="N114" s="32">
        <f t="shared" si="8"/>
        <v>5.4052951141028549</v>
      </c>
      <c r="O114" s="32">
        <f t="shared" si="8"/>
        <v>5.4052951141028549</v>
      </c>
      <c r="P114" s="32">
        <f t="shared" si="8"/>
        <v>5.4052951141028549</v>
      </c>
      <c r="Q114" s="32">
        <f t="shared" si="8"/>
        <v>5.4052951141028549</v>
      </c>
      <c r="R114" s="32">
        <f t="shared" si="8"/>
        <v>5.4052951141028549</v>
      </c>
      <c r="S114" s="32">
        <f t="shared" si="8"/>
        <v>5.4052951141028549</v>
      </c>
      <c r="T114" s="32">
        <f t="shared" si="8"/>
        <v>5.4052951141028549</v>
      </c>
      <c r="U114" s="32">
        <f t="shared" si="8"/>
        <v>5.4052951141028549</v>
      </c>
    </row>
    <row r="116" spans="2:21" x14ac:dyDescent="0.25">
      <c r="D116" s="32"/>
      <c r="E116" s="32"/>
      <c r="F116" s="32"/>
      <c r="G116" s="32"/>
      <c r="H116" s="32"/>
      <c r="I116" s="32"/>
    </row>
    <row r="118" spans="2:21" x14ac:dyDescent="0.25">
      <c r="D118" s="32"/>
      <c r="E118" s="32"/>
      <c r="F118" s="32"/>
      <c r="G118" s="32"/>
      <c r="H118" s="32"/>
      <c r="I118" s="32"/>
    </row>
  </sheetData>
  <pageMargins left="0.75" right="0.75" top="1" bottom="1" header="0.5" footer="0.5"/>
  <pageSetup scale="46" fitToHeight="2" orientation="portrait" r:id="rId1"/>
  <headerFooter alignWithMargins="0">
    <oddHeader>&amp;R&amp;D
&amp;T
rh</oddHeader>
    <oddFooter>&amp;L&amp;F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J19"/>
  <sheetViews>
    <sheetView showGridLines="0" zoomScaleNormal="100" workbookViewId="0"/>
  </sheetViews>
  <sheetFormatPr defaultRowHeight="14.4" x14ac:dyDescent="0.3"/>
  <cols>
    <col min="1" max="1" width="3.5546875" customWidth="1"/>
    <col min="2" max="2" width="17.33203125" customWidth="1"/>
    <col min="3" max="3" width="128.88671875" customWidth="1"/>
  </cols>
  <sheetData>
    <row r="1" spans="2:10" ht="18" x14ac:dyDescent="0.3">
      <c r="B1" s="436" t="s">
        <v>330</v>
      </c>
    </row>
    <row r="3" spans="2:10" ht="30" customHeight="1" x14ac:dyDescent="0.3">
      <c r="B3" s="251" t="s">
        <v>929</v>
      </c>
      <c r="C3" s="252" t="s">
        <v>165</v>
      </c>
      <c r="D3" s="230"/>
      <c r="E3" s="230"/>
      <c r="F3" s="230"/>
      <c r="G3" s="230"/>
      <c r="H3" s="230"/>
      <c r="I3" s="230"/>
      <c r="J3" s="230"/>
    </row>
    <row r="4" spans="2:10" ht="30" customHeight="1" x14ac:dyDescent="0.3">
      <c r="B4" s="251" t="s">
        <v>159</v>
      </c>
      <c r="C4" s="252" t="s">
        <v>164</v>
      </c>
      <c r="D4" s="230"/>
      <c r="E4" s="230"/>
      <c r="F4" s="230"/>
      <c r="G4" s="230"/>
      <c r="H4" s="230"/>
      <c r="I4" s="230"/>
      <c r="J4" s="230"/>
    </row>
    <row r="5" spans="2:10" ht="30" customHeight="1" x14ac:dyDescent="0.3">
      <c r="B5" s="251" t="s">
        <v>158</v>
      </c>
      <c r="C5" s="252" t="s">
        <v>163</v>
      </c>
      <c r="D5" s="230"/>
      <c r="E5" s="230"/>
      <c r="F5" s="230"/>
      <c r="G5" s="230"/>
      <c r="H5" s="230"/>
      <c r="I5" s="230"/>
      <c r="J5" s="230"/>
    </row>
    <row r="6" spans="2:10" ht="30" customHeight="1" x14ac:dyDescent="0.3">
      <c r="B6" s="251" t="s">
        <v>919</v>
      </c>
      <c r="C6" s="252" t="s">
        <v>906</v>
      </c>
      <c r="D6" s="230"/>
      <c r="E6" s="230"/>
      <c r="F6" s="230"/>
      <c r="G6" s="230"/>
      <c r="H6" s="230"/>
      <c r="I6" s="230"/>
      <c r="J6" s="230"/>
    </row>
    <row r="7" spans="2:10" ht="30" customHeight="1" x14ac:dyDescent="0.3">
      <c r="B7" s="251" t="s">
        <v>157</v>
      </c>
      <c r="C7" s="252" t="s">
        <v>162</v>
      </c>
      <c r="D7" s="230"/>
      <c r="E7" s="230"/>
      <c r="F7" s="230"/>
      <c r="G7" s="230"/>
      <c r="H7" s="230"/>
      <c r="I7" s="230"/>
      <c r="J7" s="230"/>
    </row>
    <row r="8" spans="2:10" ht="30" customHeight="1" x14ac:dyDescent="0.3">
      <c r="B8" s="251" t="s">
        <v>161</v>
      </c>
      <c r="C8" s="252" t="s">
        <v>166</v>
      </c>
      <c r="D8" s="230"/>
      <c r="E8" s="230"/>
      <c r="F8" s="230"/>
      <c r="G8" s="230"/>
      <c r="H8" s="230"/>
      <c r="I8" s="230"/>
      <c r="J8" s="230"/>
    </row>
    <row r="9" spans="2:10" ht="30" customHeight="1" x14ac:dyDescent="0.3">
      <c r="B9" s="251" t="s">
        <v>160</v>
      </c>
      <c r="C9" s="252" t="s">
        <v>258</v>
      </c>
      <c r="D9" s="230"/>
      <c r="E9" s="230"/>
      <c r="F9" s="230"/>
      <c r="G9" s="230"/>
      <c r="H9" s="230"/>
      <c r="I9" s="230"/>
      <c r="J9" s="230"/>
    </row>
    <row r="10" spans="2:10" ht="30" customHeight="1" x14ac:dyDescent="0.3">
      <c r="B10" s="251" t="s">
        <v>268</v>
      </c>
      <c r="C10" s="252" t="s">
        <v>597</v>
      </c>
      <c r="D10" s="231"/>
      <c r="E10" s="231"/>
      <c r="F10" s="231"/>
      <c r="G10" s="231"/>
      <c r="H10" s="231"/>
      <c r="I10" s="231"/>
      <c r="J10" s="231"/>
    </row>
    <row r="11" spans="2:10" ht="30" customHeight="1" x14ac:dyDescent="0.3">
      <c r="B11" s="355" t="s">
        <v>599</v>
      </c>
      <c r="C11" s="353" t="s">
        <v>613</v>
      </c>
      <c r="D11" s="231"/>
      <c r="E11" s="231"/>
      <c r="F11" s="231"/>
      <c r="G11" s="231"/>
      <c r="H11" s="231"/>
      <c r="I11" s="231"/>
      <c r="J11" s="231"/>
    </row>
    <row r="12" spans="2:10" ht="30" customHeight="1" x14ac:dyDescent="0.3">
      <c r="B12" s="355" t="s">
        <v>600</v>
      </c>
      <c r="C12" s="353"/>
      <c r="D12" s="231"/>
      <c r="E12" s="231"/>
      <c r="F12" s="231"/>
      <c r="G12" s="231"/>
      <c r="H12" s="231"/>
      <c r="I12" s="231"/>
      <c r="J12" s="231"/>
    </row>
    <row r="13" spans="2:10" ht="30" customHeight="1" x14ac:dyDescent="0.3">
      <c r="B13" s="355" t="s">
        <v>601</v>
      </c>
      <c r="C13" s="353"/>
      <c r="D13" s="231"/>
      <c r="E13" s="231"/>
      <c r="F13" s="231"/>
      <c r="G13" s="231"/>
      <c r="H13" s="231"/>
      <c r="I13" s="231"/>
      <c r="J13" s="231"/>
    </row>
    <row r="14" spans="2:10" ht="30" customHeight="1" x14ac:dyDescent="0.3">
      <c r="B14" s="355" t="s">
        <v>602</v>
      </c>
      <c r="C14" s="353"/>
      <c r="D14" s="231"/>
      <c r="E14" s="231"/>
      <c r="F14" s="231"/>
      <c r="G14" s="231"/>
      <c r="H14" s="231"/>
      <c r="I14" s="231"/>
      <c r="J14" s="231"/>
    </row>
    <row r="15" spans="2:10" ht="30" customHeight="1" x14ac:dyDescent="0.3">
      <c r="B15" s="355" t="s">
        <v>603</v>
      </c>
      <c r="C15" s="354"/>
      <c r="D15" s="230"/>
      <c r="E15" s="230"/>
      <c r="F15" s="230"/>
      <c r="G15" s="230"/>
      <c r="H15" s="230"/>
      <c r="I15" s="230"/>
      <c r="J15" s="230"/>
    </row>
    <row r="16" spans="2:10" ht="15" customHeight="1" x14ac:dyDescent="0.3">
      <c r="B16" s="251"/>
      <c r="C16" s="252"/>
      <c r="D16" s="230"/>
      <c r="E16" s="230"/>
      <c r="F16" s="230"/>
      <c r="G16" s="230"/>
      <c r="H16" s="230"/>
      <c r="I16" s="230"/>
      <c r="J16" s="230"/>
    </row>
    <row r="17" spans="2:10" ht="30" customHeight="1" x14ac:dyDescent="0.3">
      <c r="B17" s="233"/>
      <c r="C17" s="252" t="s">
        <v>352</v>
      </c>
      <c r="D17" s="230"/>
      <c r="E17" s="230"/>
      <c r="F17" s="230"/>
      <c r="G17" s="230"/>
      <c r="H17" s="230"/>
      <c r="I17" s="230"/>
      <c r="J17" s="230"/>
    </row>
    <row r="18" spans="2:10" ht="30" customHeight="1" x14ac:dyDescent="0.3">
      <c r="B18" s="234"/>
      <c r="C18" s="252" t="s">
        <v>818</v>
      </c>
      <c r="D18" s="232"/>
      <c r="E18" s="232"/>
      <c r="F18" s="260"/>
      <c r="G18" s="232"/>
      <c r="H18" s="232"/>
      <c r="I18" s="232"/>
      <c r="J18" s="232"/>
    </row>
    <row r="19" spans="2:10" x14ac:dyDescent="0.3">
      <c r="F19" s="260"/>
    </row>
  </sheetData>
  <sheetProtection password="EDB7" sheet="1" objects="1" scenarios="1"/>
  <conditionalFormatting sqref="C8:C14 C16:C17 C6">
    <cfRule type="expression" dxfId="7" priority="2">
      <formula>IF(IFERROR(C6,"error")="error",TRUE,FALSE)</formula>
    </cfRule>
  </conditionalFormatting>
  <conditionalFormatting sqref="C7">
    <cfRule type="expression" dxfId="6" priority="6">
      <formula>IF(IFERROR(C7,"error")="error",TRUE,FALSE)</formula>
    </cfRule>
  </conditionalFormatting>
  <conditionalFormatting sqref="C5">
    <cfRule type="expression" dxfId="5" priority="5">
      <formula>IF(IFERROR(C5,"error")="error",TRUE,FALSE)</formula>
    </cfRule>
  </conditionalFormatting>
  <conditionalFormatting sqref="C4">
    <cfRule type="expression" dxfId="4" priority="4">
      <formula>IF(IFERROR(C4,"error")="error",TRUE,FALSE)</formula>
    </cfRule>
  </conditionalFormatting>
  <conditionalFormatting sqref="C3">
    <cfRule type="expression" dxfId="3" priority="3">
      <formula>IF(IFERROR(C3,"error")="error",TRUE,FALSE)</formula>
    </cfRule>
  </conditionalFormatting>
  <conditionalFormatting sqref="C18">
    <cfRule type="expression" dxfId="2" priority="1">
      <formula>IF(IFERROR(C18,"error")="error",TRUE,FALSE)</formula>
    </cfRule>
  </conditionalFormatting>
  <pageMargins left="0.7" right="0.7" top="0.75" bottom="0.75" header="0.3" footer="0.3"/>
  <pageSetup scale="85" fitToHeight="2" orientation="landscape" r:id="rId1"/>
  <rowBreaks count="1" manualBreakCount="1">
    <brk id="21"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W118"/>
  <sheetViews>
    <sheetView workbookViewId="0">
      <selection activeCell="A3" sqref="A3"/>
    </sheetView>
  </sheetViews>
  <sheetFormatPr defaultRowHeight="13.2" x14ac:dyDescent="0.25"/>
  <cols>
    <col min="1" max="7" width="9.109375" style="26"/>
    <col min="8" max="8" width="10.6640625" style="26" customWidth="1"/>
    <col min="9" max="263" width="9.109375" style="26"/>
    <col min="264" max="264" width="10.6640625" style="26" customWidth="1"/>
    <col min="265" max="519" width="9.109375" style="26"/>
    <col min="520" max="520" width="10.6640625" style="26" customWidth="1"/>
    <col min="521" max="775" width="9.109375" style="26"/>
    <col min="776" max="776" width="10.6640625" style="26" customWidth="1"/>
    <col min="777" max="1031" width="9.109375" style="26"/>
    <col min="1032" max="1032" width="10.6640625" style="26" customWidth="1"/>
    <col min="1033" max="1287" width="9.109375" style="26"/>
    <col min="1288" max="1288" width="10.6640625" style="26" customWidth="1"/>
    <col min="1289" max="1543" width="9.109375" style="26"/>
    <col min="1544" max="1544" width="10.6640625" style="26" customWidth="1"/>
    <col min="1545" max="1799" width="9.109375" style="26"/>
    <col min="1800" max="1800" width="10.6640625" style="26" customWidth="1"/>
    <col min="1801" max="2055" width="9.109375" style="26"/>
    <col min="2056" max="2056" width="10.6640625" style="26" customWidth="1"/>
    <col min="2057" max="2311" width="9.109375" style="26"/>
    <col min="2312" max="2312" width="10.6640625" style="26" customWidth="1"/>
    <col min="2313" max="2567" width="9.109375" style="26"/>
    <col min="2568" max="2568" width="10.6640625" style="26" customWidth="1"/>
    <col min="2569" max="2823" width="9.109375" style="26"/>
    <col min="2824" max="2824" width="10.6640625" style="26" customWidth="1"/>
    <col min="2825" max="3079" width="9.109375" style="26"/>
    <col min="3080" max="3080" width="10.6640625" style="26" customWidth="1"/>
    <col min="3081" max="3335" width="9.109375" style="26"/>
    <col min="3336" max="3336" width="10.6640625" style="26" customWidth="1"/>
    <col min="3337" max="3591" width="9.109375" style="26"/>
    <col min="3592" max="3592" width="10.6640625" style="26" customWidth="1"/>
    <col min="3593" max="3847" width="9.109375" style="26"/>
    <col min="3848" max="3848" width="10.6640625" style="26" customWidth="1"/>
    <col min="3849" max="4103" width="9.109375" style="26"/>
    <col min="4104" max="4104" width="10.6640625" style="26" customWidth="1"/>
    <col min="4105" max="4359" width="9.109375" style="26"/>
    <col min="4360" max="4360" width="10.6640625" style="26" customWidth="1"/>
    <col min="4361" max="4615" width="9.109375" style="26"/>
    <col min="4616" max="4616" width="10.6640625" style="26" customWidth="1"/>
    <col min="4617" max="4871" width="9.109375" style="26"/>
    <col min="4872" max="4872" width="10.6640625" style="26" customWidth="1"/>
    <col min="4873" max="5127" width="9.109375" style="26"/>
    <col min="5128" max="5128" width="10.6640625" style="26" customWidth="1"/>
    <col min="5129" max="5383" width="9.109375" style="26"/>
    <col min="5384" max="5384" width="10.6640625" style="26" customWidth="1"/>
    <col min="5385" max="5639" width="9.109375" style="26"/>
    <col min="5640" max="5640" width="10.6640625" style="26" customWidth="1"/>
    <col min="5641" max="5895" width="9.109375" style="26"/>
    <col min="5896" max="5896" width="10.6640625" style="26" customWidth="1"/>
    <col min="5897" max="6151" width="9.109375" style="26"/>
    <col min="6152" max="6152" width="10.6640625" style="26" customWidth="1"/>
    <col min="6153" max="6407" width="9.109375" style="26"/>
    <col min="6408" max="6408" width="10.6640625" style="26" customWidth="1"/>
    <col min="6409" max="6663" width="9.109375" style="26"/>
    <col min="6664" max="6664" width="10.6640625" style="26" customWidth="1"/>
    <col min="6665" max="6919" width="9.109375" style="26"/>
    <col min="6920" max="6920" width="10.6640625" style="26" customWidth="1"/>
    <col min="6921" max="7175" width="9.109375" style="26"/>
    <col min="7176" max="7176" width="10.6640625" style="26" customWidth="1"/>
    <col min="7177" max="7431" width="9.109375" style="26"/>
    <col min="7432" max="7432" width="10.6640625" style="26" customWidth="1"/>
    <col min="7433" max="7687" width="9.109375" style="26"/>
    <col min="7688" max="7688" width="10.6640625" style="26" customWidth="1"/>
    <col min="7689" max="7943" width="9.109375" style="26"/>
    <col min="7944" max="7944" width="10.6640625" style="26" customWidth="1"/>
    <col min="7945" max="8199" width="9.109375" style="26"/>
    <col min="8200" max="8200" width="10.6640625" style="26" customWidth="1"/>
    <col min="8201" max="8455" width="9.109375" style="26"/>
    <col min="8456" max="8456" width="10.6640625" style="26" customWidth="1"/>
    <col min="8457" max="8711" width="9.109375" style="26"/>
    <col min="8712" max="8712" width="10.6640625" style="26" customWidth="1"/>
    <col min="8713" max="8967" width="9.109375" style="26"/>
    <col min="8968" max="8968" width="10.6640625" style="26" customWidth="1"/>
    <col min="8969" max="9223" width="9.109375" style="26"/>
    <col min="9224" max="9224" width="10.6640625" style="26" customWidth="1"/>
    <col min="9225" max="9479" width="9.109375" style="26"/>
    <col min="9480" max="9480" width="10.6640625" style="26" customWidth="1"/>
    <col min="9481" max="9735" width="9.109375" style="26"/>
    <col min="9736" max="9736" width="10.6640625" style="26" customWidth="1"/>
    <col min="9737" max="9991" width="9.109375" style="26"/>
    <col min="9992" max="9992" width="10.6640625" style="26" customWidth="1"/>
    <col min="9993" max="10247" width="9.109375" style="26"/>
    <col min="10248" max="10248" width="10.6640625" style="26" customWidth="1"/>
    <col min="10249" max="10503" width="9.109375" style="26"/>
    <col min="10504" max="10504" width="10.6640625" style="26" customWidth="1"/>
    <col min="10505" max="10759" width="9.109375" style="26"/>
    <col min="10760" max="10760" width="10.6640625" style="26" customWidth="1"/>
    <col min="10761" max="11015" width="9.109375" style="26"/>
    <col min="11016" max="11016" width="10.6640625" style="26" customWidth="1"/>
    <col min="11017" max="11271" width="9.109375" style="26"/>
    <col min="11272" max="11272" width="10.6640625" style="26" customWidth="1"/>
    <col min="11273" max="11527" width="9.109375" style="26"/>
    <col min="11528" max="11528" width="10.6640625" style="26" customWidth="1"/>
    <col min="11529" max="11783" width="9.109375" style="26"/>
    <col min="11784" max="11784" width="10.6640625" style="26" customWidth="1"/>
    <col min="11785" max="12039" width="9.109375" style="26"/>
    <col min="12040" max="12040" width="10.6640625" style="26" customWidth="1"/>
    <col min="12041" max="12295" width="9.109375" style="26"/>
    <col min="12296" max="12296" width="10.6640625" style="26" customWidth="1"/>
    <col min="12297" max="12551" width="9.109375" style="26"/>
    <col min="12552" max="12552" width="10.6640625" style="26" customWidth="1"/>
    <col min="12553" max="12807" width="9.109375" style="26"/>
    <col min="12808" max="12808" width="10.6640625" style="26" customWidth="1"/>
    <col min="12809" max="13063" width="9.109375" style="26"/>
    <col min="13064" max="13064" width="10.6640625" style="26" customWidth="1"/>
    <col min="13065" max="13319" width="9.109375" style="26"/>
    <col min="13320" max="13320" width="10.6640625" style="26" customWidth="1"/>
    <col min="13321" max="13575" width="9.109375" style="26"/>
    <col min="13576" max="13576" width="10.6640625" style="26" customWidth="1"/>
    <col min="13577" max="13831" width="9.109375" style="26"/>
    <col min="13832" max="13832" width="10.6640625" style="26" customWidth="1"/>
    <col min="13833" max="14087" width="9.109375" style="26"/>
    <col min="14088" max="14088" width="10.6640625" style="26" customWidth="1"/>
    <col min="14089" max="14343" width="9.109375" style="26"/>
    <col min="14344" max="14344" width="10.6640625" style="26" customWidth="1"/>
    <col min="14345" max="14599" width="9.109375" style="26"/>
    <col min="14600" max="14600" width="10.6640625" style="26" customWidth="1"/>
    <col min="14601" max="14855" width="9.109375" style="26"/>
    <col min="14856" max="14856" width="10.6640625" style="26" customWidth="1"/>
    <col min="14857" max="15111" width="9.109375" style="26"/>
    <col min="15112" max="15112" width="10.6640625" style="26" customWidth="1"/>
    <col min="15113" max="15367" width="9.109375" style="26"/>
    <col min="15368" max="15368" width="10.6640625" style="26" customWidth="1"/>
    <col min="15369" max="15623" width="9.109375" style="26"/>
    <col min="15624" max="15624" width="10.6640625" style="26" customWidth="1"/>
    <col min="15625" max="15879" width="9.109375" style="26"/>
    <col min="15880" max="15880" width="10.6640625" style="26" customWidth="1"/>
    <col min="15881" max="16135" width="9.109375" style="26"/>
    <col min="16136" max="16136" width="10.6640625" style="26" customWidth="1"/>
    <col min="16137" max="16384" width="9.109375" style="26"/>
  </cols>
  <sheetData>
    <row r="1" spans="1:15" ht="13.8" thickBot="1" x14ac:dyDescent="0.3">
      <c r="A1" s="25" t="s">
        <v>297</v>
      </c>
      <c r="B1" s="268" t="s">
        <v>402</v>
      </c>
      <c r="C1" s="33">
        <f>Drives!BA54</f>
        <v>38490.017945975058</v>
      </c>
      <c r="D1" s="28" t="s">
        <v>7</v>
      </c>
      <c r="E1" s="300">
        <v>0</v>
      </c>
      <c r="F1" s="301">
        <f>MAX(0.1,E1+100/C1)</f>
        <v>0.1</v>
      </c>
      <c r="G1" s="36" t="s">
        <v>1</v>
      </c>
      <c r="H1" s="29">
        <f>IF(J1=0,0,H4/J1)</f>
        <v>0</v>
      </c>
      <c r="I1" s="47" t="s">
        <v>13</v>
      </c>
      <c r="J1" s="34">
        <f>Drives!Z54</f>
        <v>0</v>
      </c>
      <c r="K1" s="26" t="s">
        <v>84</v>
      </c>
      <c r="N1" s="254">
        <v>0.98499999999999999</v>
      </c>
      <c r="O1" s="26" t="s">
        <v>176</v>
      </c>
    </row>
    <row r="2" spans="1:15" x14ac:dyDescent="0.25">
      <c r="A2" s="267" t="s">
        <v>97</v>
      </c>
      <c r="B2" s="72">
        <v>54</v>
      </c>
      <c r="D2" s="26">
        <f>C4+1</f>
        <v>1</v>
      </c>
      <c r="E2" s="41">
        <f>F1-C3</f>
        <v>0</v>
      </c>
      <c r="F2" s="36"/>
      <c r="G2" s="36"/>
      <c r="J2" s="29">
        <f>IF(J1&gt;=0.2,(0.48+(J1-0.2)*0.65),(J1*2.4))</f>
        <v>0</v>
      </c>
      <c r="K2" s="26" t="s">
        <v>60</v>
      </c>
    </row>
    <row r="3" spans="1:15" ht="13.8" thickBot="1" x14ac:dyDescent="0.3">
      <c r="C3" s="41">
        <f>HLOOKUP($F$1,$D$62:$U$113,(B3+1))</f>
        <v>0.1</v>
      </c>
      <c r="D3" s="41">
        <f>HLOOKUP($D$2,$D$61:$U$113,(B3+2))</f>
        <v>0.5</v>
      </c>
      <c r="E3" s="26">
        <f>D3-C3</f>
        <v>0.4</v>
      </c>
      <c r="F3" s="26">
        <f>IF(E3=0,1,E2/E3)</f>
        <v>0</v>
      </c>
      <c r="G3" s="32">
        <f>C3+(E3*F3)</f>
        <v>0.1</v>
      </c>
    </row>
    <row r="4" spans="1:15" ht="13.8" thickBot="1" x14ac:dyDescent="0.3">
      <c r="B4" s="26">
        <v>1</v>
      </c>
      <c r="C4" s="302">
        <f t="shared" ref="C4:C53" si="0">HLOOKUP($F$1,$D$62:$U$113,(B4+1))</f>
        <v>0</v>
      </c>
      <c r="D4" s="302">
        <f t="shared" ref="D4:D53" si="1">HLOOKUP($D$2,$D$61:$U$113,(B4+2))</f>
        <v>1</v>
      </c>
      <c r="G4" s="27">
        <v>100</v>
      </c>
      <c r="H4" s="34">
        <f>Drives!AR54</f>
        <v>0</v>
      </c>
      <c r="I4" s="26" t="s">
        <v>53</v>
      </c>
    </row>
    <row r="5" spans="1:15" x14ac:dyDescent="0.25">
      <c r="B5" s="26">
        <v>2</v>
      </c>
      <c r="C5" s="52">
        <f t="shared" si="0"/>
        <v>1.2515208047560544</v>
      </c>
      <c r="D5" s="52">
        <f t="shared" si="1"/>
        <v>1.1886848246194237</v>
      </c>
      <c r="E5" s="48">
        <f>D5-C5</f>
        <v>-6.283598013663072E-2</v>
      </c>
      <c r="F5" s="48">
        <f>E5*$F$3</f>
        <v>0</v>
      </c>
      <c r="G5" s="48">
        <f>C5+F5</f>
        <v>1.2515208047560544</v>
      </c>
      <c r="H5" s="30">
        <f>J$2*G5*$H$1/100</f>
        <v>0</v>
      </c>
    </row>
    <row r="6" spans="1:15" x14ac:dyDescent="0.25">
      <c r="B6" s="26">
        <v>3</v>
      </c>
      <c r="C6" s="52">
        <f t="shared" si="0"/>
        <v>2.32717430688299</v>
      </c>
      <c r="D6" s="52">
        <f t="shared" si="1"/>
        <v>2.2103322392433076</v>
      </c>
      <c r="E6" s="48">
        <f t="shared" ref="E6:E53" si="2">D6-C6</f>
        <v>-0.11684206763968241</v>
      </c>
      <c r="F6" s="48">
        <f t="shared" ref="F6:F53" si="3">E6*$F$3</f>
        <v>0</v>
      </c>
      <c r="G6" s="48">
        <f t="shared" ref="G6:G53" si="4">C6+F6</f>
        <v>2.32717430688299</v>
      </c>
      <c r="H6" s="30">
        <f t="shared" ref="H6:H53" si="5">J$2*G6*$H$1/100</f>
        <v>0</v>
      </c>
    </row>
    <row r="7" spans="1:15" x14ac:dyDescent="0.25">
      <c r="B7" s="26">
        <v>4</v>
      </c>
      <c r="C7" s="52">
        <f t="shared" si="0"/>
        <v>0.17995723989956339</v>
      </c>
      <c r="D7" s="52">
        <f t="shared" si="1"/>
        <v>0.17092200092566875</v>
      </c>
      <c r="E7" s="48">
        <f t="shared" si="2"/>
        <v>-9.0352389738946326E-3</v>
      </c>
      <c r="F7" s="48">
        <f t="shared" si="3"/>
        <v>0</v>
      </c>
      <c r="G7" s="48">
        <f t="shared" si="4"/>
        <v>0.17995723989956339</v>
      </c>
      <c r="H7" s="30">
        <f t="shared" si="5"/>
        <v>0</v>
      </c>
    </row>
    <row r="8" spans="1:15" x14ac:dyDescent="0.25">
      <c r="B8" s="26">
        <v>5</v>
      </c>
      <c r="C8" s="52">
        <f t="shared" si="0"/>
        <v>4.0848248488565666</v>
      </c>
      <c r="D8" s="52">
        <f t="shared" si="1"/>
        <v>3.8797351914661737</v>
      </c>
      <c r="E8" s="48">
        <f t="shared" si="2"/>
        <v>-0.20508965739039287</v>
      </c>
      <c r="F8" s="48">
        <f t="shared" si="3"/>
        <v>0</v>
      </c>
      <c r="G8" s="48">
        <f t="shared" si="4"/>
        <v>4.0848248488565666</v>
      </c>
      <c r="H8" s="30">
        <f t="shared" si="5"/>
        <v>0</v>
      </c>
    </row>
    <row r="9" spans="1:15" x14ac:dyDescent="0.25">
      <c r="B9" s="26">
        <v>6</v>
      </c>
      <c r="C9" s="52">
        <f t="shared" si="0"/>
        <v>2.4539623622667733E-2</v>
      </c>
      <c r="D9" s="52">
        <f t="shared" si="1"/>
        <v>2.3307545580773012E-2</v>
      </c>
      <c r="E9" s="48">
        <f t="shared" si="2"/>
        <v>-1.2320780418947214E-3</v>
      </c>
      <c r="F9" s="48">
        <f t="shared" si="3"/>
        <v>0</v>
      </c>
      <c r="G9" s="48">
        <f t="shared" si="4"/>
        <v>2.4539623622667733E-2</v>
      </c>
      <c r="H9" s="30">
        <f t="shared" si="5"/>
        <v>0</v>
      </c>
    </row>
    <row r="10" spans="1:15" x14ac:dyDescent="0.25">
      <c r="B10" s="26">
        <v>7</v>
      </c>
      <c r="C10" s="52">
        <f t="shared" si="0"/>
        <v>1.9989568409298093</v>
      </c>
      <c r="D10" s="52">
        <f t="shared" si="1"/>
        <v>1.8985938171004682</v>
      </c>
      <c r="E10" s="48">
        <f t="shared" si="2"/>
        <v>-0.10036302382934115</v>
      </c>
      <c r="F10" s="48">
        <f t="shared" si="3"/>
        <v>0</v>
      </c>
      <c r="G10" s="48">
        <f t="shared" si="4"/>
        <v>1.9989568409298093</v>
      </c>
      <c r="H10" s="30">
        <f t="shared" si="5"/>
        <v>0</v>
      </c>
    </row>
    <row r="11" spans="1:15" x14ac:dyDescent="0.25">
      <c r="B11" s="26">
        <v>8</v>
      </c>
      <c r="C11" s="52">
        <f t="shared" si="0"/>
        <v>7.7708808138447827E-2</v>
      </c>
      <c r="D11" s="52">
        <f t="shared" si="1"/>
        <v>7.3807227672447878E-2</v>
      </c>
      <c r="E11" s="48">
        <f t="shared" si="2"/>
        <v>-3.9015804659999487E-3</v>
      </c>
      <c r="F11" s="48">
        <f t="shared" si="3"/>
        <v>0</v>
      </c>
      <c r="G11" s="48">
        <f t="shared" si="4"/>
        <v>7.7708808138447827E-2</v>
      </c>
      <c r="H11" s="30">
        <f t="shared" si="5"/>
        <v>0</v>
      </c>
    </row>
    <row r="12" spans="1:15" x14ac:dyDescent="0.25">
      <c r="B12" s="26">
        <v>9</v>
      </c>
      <c r="C12" s="52">
        <f t="shared" si="0"/>
        <v>7.7708808138447827E-2</v>
      </c>
      <c r="D12" s="52">
        <f t="shared" si="1"/>
        <v>7.3807227672447878E-2</v>
      </c>
      <c r="E12" s="48">
        <f t="shared" si="2"/>
        <v>-3.9015804659999487E-3</v>
      </c>
      <c r="F12" s="48">
        <f t="shared" si="3"/>
        <v>0</v>
      </c>
      <c r="G12" s="48">
        <f t="shared" si="4"/>
        <v>7.7708808138447827E-2</v>
      </c>
      <c r="H12" s="30">
        <f t="shared" si="5"/>
        <v>0</v>
      </c>
    </row>
    <row r="13" spans="1:15" x14ac:dyDescent="0.25">
      <c r="B13" s="26">
        <v>10</v>
      </c>
      <c r="C13" s="52">
        <f t="shared" si="0"/>
        <v>2.4539623622667733E-2</v>
      </c>
      <c r="D13" s="52">
        <f t="shared" si="1"/>
        <v>2.3307545580773012E-2</v>
      </c>
      <c r="E13" s="48">
        <f t="shared" si="2"/>
        <v>-1.2320780418947214E-3</v>
      </c>
      <c r="F13" s="48">
        <f t="shared" si="3"/>
        <v>0</v>
      </c>
      <c r="G13" s="48">
        <f t="shared" si="4"/>
        <v>2.4539623622667733E-2</v>
      </c>
      <c r="H13" s="30">
        <f t="shared" si="5"/>
        <v>0</v>
      </c>
    </row>
    <row r="14" spans="1:15" x14ac:dyDescent="0.25">
      <c r="B14" s="26">
        <v>11</v>
      </c>
      <c r="C14" s="52">
        <f t="shared" si="0"/>
        <v>2.0441506477682228</v>
      </c>
      <c r="D14" s="52">
        <f t="shared" si="1"/>
        <v>1.9415185468783922</v>
      </c>
      <c r="E14" s="48">
        <f t="shared" si="2"/>
        <v>-0.10263210088983055</v>
      </c>
      <c r="F14" s="48">
        <f t="shared" si="3"/>
        <v>0</v>
      </c>
      <c r="G14" s="48">
        <f t="shared" si="4"/>
        <v>2.0441506477682228</v>
      </c>
      <c r="H14" s="30">
        <f t="shared" si="5"/>
        <v>0</v>
      </c>
    </row>
    <row r="15" spans="1:15" x14ac:dyDescent="0.25">
      <c r="B15" s="26">
        <v>12</v>
      </c>
      <c r="C15" s="52">
        <f t="shared" si="0"/>
        <v>5.3169184515780087E-2</v>
      </c>
      <c r="D15" s="52">
        <f t="shared" si="1"/>
        <v>5.0499682091674859E-2</v>
      </c>
      <c r="E15" s="48">
        <f t="shared" si="2"/>
        <v>-2.6695024241052273E-3</v>
      </c>
      <c r="F15" s="48">
        <f t="shared" si="3"/>
        <v>0</v>
      </c>
      <c r="G15" s="48">
        <f t="shared" si="4"/>
        <v>5.3169184515780087E-2</v>
      </c>
      <c r="H15" s="30">
        <f t="shared" si="5"/>
        <v>0</v>
      </c>
    </row>
    <row r="16" spans="1:15" x14ac:dyDescent="0.25">
      <c r="B16" s="26">
        <v>13</v>
      </c>
      <c r="C16" s="52">
        <f t="shared" si="0"/>
        <v>1.0220753238841114</v>
      </c>
      <c r="D16" s="52">
        <f t="shared" si="1"/>
        <v>0.9707592734391961</v>
      </c>
      <c r="E16" s="48">
        <f t="shared" si="2"/>
        <v>-5.1316050444915273E-2</v>
      </c>
      <c r="F16" s="48">
        <f t="shared" si="3"/>
        <v>0</v>
      </c>
      <c r="G16" s="48">
        <f t="shared" si="4"/>
        <v>1.0220753238841114</v>
      </c>
      <c r="H16" s="30">
        <f t="shared" si="5"/>
        <v>0</v>
      </c>
    </row>
    <row r="17" spans="2:8" x14ac:dyDescent="0.25">
      <c r="B17" s="26">
        <v>14</v>
      </c>
      <c r="C17" s="52">
        <f t="shared" si="0"/>
        <v>5.3169184515780087E-2</v>
      </c>
      <c r="D17" s="52">
        <f t="shared" si="1"/>
        <v>5.0499682091674859E-2</v>
      </c>
      <c r="E17" s="48">
        <f t="shared" si="2"/>
        <v>-2.6695024241052273E-3</v>
      </c>
      <c r="F17" s="48">
        <f t="shared" si="3"/>
        <v>0</v>
      </c>
      <c r="G17" s="48">
        <f t="shared" si="4"/>
        <v>5.3169184515780087E-2</v>
      </c>
      <c r="H17" s="30">
        <f t="shared" si="5"/>
        <v>0</v>
      </c>
    </row>
    <row r="18" spans="2:8" x14ac:dyDescent="0.25">
      <c r="B18" s="26">
        <v>15</v>
      </c>
      <c r="C18" s="52">
        <f t="shared" si="0"/>
        <v>0.15541761627689565</v>
      </c>
      <c r="D18" s="52">
        <f t="shared" si="1"/>
        <v>0.14761445534489576</v>
      </c>
      <c r="E18" s="48">
        <f t="shared" si="2"/>
        <v>-7.8031609319998974E-3</v>
      </c>
      <c r="F18" s="48">
        <f t="shared" si="3"/>
        <v>0</v>
      </c>
      <c r="G18" s="48">
        <f t="shared" si="4"/>
        <v>0.15541761627689565</v>
      </c>
      <c r="H18" s="30">
        <f t="shared" si="5"/>
        <v>0</v>
      </c>
    </row>
    <row r="19" spans="2:8" x14ac:dyDescent="0.25">
      <c r="B19" s="26">
        <v>16</v>
      </c>
      <c r="C19" s="52">
        <f t="shared" si="0"/>
        <v>2.4539623622667733E-2</v>
      </c>
      <c r="D19" s="52">
        <f t="shared" si="1"/>
        <v>2.3307545580773012E-2</v>
      </c>
      <c r="E19" s="48">
        <f t="shared" si="2"/>
        <v>-1.2320780418947214E-3</v>
      </c>
      <c r="F19" s="48">
        <f t="shared" si="3"/>
        <v>0</v>
      </c>
      <c r="G19" s="48">
        <f t="shared" si="4"/>
        <v>2.4539623622667733E-2</v>
      </c>
      <c r="H19" s="30">
        <f t="shared" si="5"/>
        <v>0</v>
      </c>
    </row>
    <row r="20" spans="2:8" x14ac:dyDescent="0.25">
      <c r="B20" s="26">
        <v>17</v>
      </c>
      <c r="C20" s="52">
        <f t="shared" si="0"/>
        <v>1.7173646598596972</v>
      </c>
      <c r="D20" s="52">
        <f t="shared" si="1"/>
        <v>1.631139731561098</v>
      </c>
      <c r="E20" s="48">
        <f t="shared" si="2"/>
        <v>-8.6224928298599179E-2</v>
      </c>
      <c r="F20" s="48">
        <f t="shared" si="3"/>
        <v>0</v>
      </c>
      <c r="G20" s="48">
        <f t="shared" si="4"/>
        <v>1.7173646598596972</v>
      </c>
      <c r="H20" s="30">
        <f t="shared" si="5"/>
        <v>0</v>
      </c>
    </row>
    <row r="21" spans="2:8" x14ac:dyDescent="0.25">
      <c r="B21" s="26">
        <v>18</v>
      </c>
      <c r="C21" s="52">
        <f t="shared" si="0"/>
        <v>0.10224843176111557</v>
      </c>
      <c r="D21" s="52">
        <f t="shared" si="1"/>
        <v>9.711477325322089E-2</v>
      </c>
      <c r="E21" s="48">
        <f t="shared" si="2"/>
        <v>-5.1336585078946839E-3</v>
      </c>
      <c r="F21" s="48">
        <f t="shared" si="3"/>
        <v>0</v>
      </c>
      <c r="G21" s="48">
        <f t="shared" si="4"/>
        <v>0.10224843176111557</v>
      </c>
      <c r="H21" s="30">
        <f t="shared" si="5"/>
        <v>0</v>
      </c>
    </row>
    <row r="22" spans="2:8" x14ac:dyDescent="0.25">
      <c r="B22" s="26">
        <v>19</v>
      </c>
      <c r="C22" s="52">
        <f t="shared" si="0"/>
        <v>1.9780981608505417</v>
      </c>
      <c r="D22" s="52">
        <f t="shared" si="1"/>
        <v>1.8787824033568112</v>
      </c>
      <c r="E22" s="48">
        <f t="shared" si="2"/>
        <v>-9.931575749373045E-2</v>
      </c>
      <c r="F22" s="48">
        <f t="shared" si="3"/>
        <v>0</v>
      </c>
      <c r="G22" s="48">
        <f t="shared" si="4"/>
        <v>1.9780981608505417</v>
      </c>
      <c r="H22" s="30">
        <f t="shared" si="5"/>
        <v>0</v>
      </c>
    </row>
    <row r="23" spans="2:8" x14ac:dyDescent="0.25">
      <c r="B23" s="26">
        <v>20</v>
      </c>
      <c r="C23" s="52">
        <f t="shared" si="0"/>
        <v>5.3169184515780087E-2</v>
      </c>
      <c r="D23" s="52">
        <f t="shared" si="1"/>
        <v>5.0499682091674859E-2</v>
      </c>
      <c r="E23" s="48">
        <f t="shared" si="2"/>
        <v>-2.6695024241052273E-3</v>
      </c>
      <c r="F23" s="48">
        <f t="shared" si="3"/>
        <v>0</v>
      </c>
      <c r="G23" s="48">
        <f t="shared" si="4"/>
        <v>5.3169184515780087E-2</v>
      </c>
      <c r="H23" s="30">
        <f t="shared" si="5"/>
        <v>0</v>
      </c>
    </row>
    <row r="24" spans="2:8" x14ac:dyDescent="0.25">
      <c r="B24" s="26">
        <v>21</v>
      </c>
      <c r="C24" s="52">
        <f t="shared" si="0"/>
        <v>0.10224843176111557</v>
      </c>
      <c r="D24" s="52">
        <f t="shared" si="1"/>
        <v>9.711477325322089E-2</v>
      </c>
      <c r="E24" s="48">
        <f t="shared" si="2"/>
        <v>-5.1336585078946839E-3</v>
      </c>
      <c r="F24" s="48">
        <f t="shared" si="3"/>
        <v>0</v>
      </c>
      <c r="G24" s="48">
        <f t="shared" si="4"/>
        <v>0.10224843176111557</v>
      </c>
      <c r="H24" s="30">
        <f t="shared" si="5"/>
        <v>0</v>
      </c>
    </row>
    <row r="25" spans="2:8" x14ac:dyDescent="0.25">
      <c r="B25" s="26">
        <v>22</v>
      </c>
      <c r="C25" s="52">
        <f t="shared" si="0"/>
        <v>7.7708808138447827E-2</v>
      </c>
      <c r="D25" s="52">
        <f t="shared" si="1"/>
        <v>7.3807227672447878E-2</v>
      </c>
      <c r="E25" s="48">
        <f t="shared" si="2"/>
        <v>-3.9015804659999487E-3</v>
      </c>
      <c r="F25" s="48">
        <f t="shared" si="3"/>
        <v>0</v>
      </c>
      <c r="G25" s="48">
        <f t="shared" si="4"/>
        <v>7.7708808138447827E-2</v>
      </c>
      <c r="H25" s="30">
        <f t="shared" si="5"/>
        <v>0</v>
      </c>
    </row>
    <row r="26" spans="2:8" x14ac:dyDescent="0.25">
      <c r="B26" s="26">
        <v>23</v>
      </c>
      <c r="C26" s="52">
        <f t="shared" si="0"/>
        <v>0.41369715490547343</v>
      </c>
      <c r="D26" s="52">
        <f t="shared" si="1"/>
        <v>0.3929263725825316</v>
      </c>
      <c r="E26" s="48">
        <f t="shared" si="2"/>
        <v>-2.0770782322941828E-2</v>
      </c>
      <c r="F26" s="48">
        <f t="shared" si="3"/>
        <v>0</v>
      </c>
      <c r="G26" s="48">
        <f t="shared" si="4"/>
        <v>0.41369715490547343</v>
      </c>
      <c r="H26" s="30">
        <f t="shared" si="5"/>
        <v>0</v>
      </c>
    </row>
    <row r="27" spans="2:8" x14ac:dyDescent="0.25">
      <c r="B27" s="26">
        <v>24</v>
      </c>
      <c r="C27" s="52">
        <f t="shared" si="0"/>
        <v>7.7708808138447827E-2</v>
      </c>
      <c r="D27" s="52">
        <f t="shared" si="1"/>
        <v>7.3807227672447878E-2</v>
      </c>
      <c r="E27" s="48">
        <f t="shared" si="2"/>
        <v>-3.9015804659999487E-3</v>
      </c>
      <c r="F27" s="48">
        <f t="shared" si="3"/>
        <v>0</v>
      </c>
      <c r="G27" s="48">
        <f t="shared" si="4"/>
        <v>7.7708808138447827E-2</v>
      </c>
      <c r="H27" s="30">
        <f t="shared" si="5"/>
        <v>0</v>
      </c>
    </row>
    <row r="28" spans="2:8" x14ac:dyDescent="0.25">
      <c r="B28" s="26">
        <v>25</v>
      </c>
      <c r="C28" s="52">
        <f t="shared" si="0"/>
        <v>0.45541451506400871</v>
      </c>
      <c r="D28" s="52">
        <f t="shared" si="1"/>
        <v>0.43254920006984582</v>
      </c>
      <c r="E28" s="48">
        <f t="shared" si="2"/>
        <v>-2.2865314994162889E-2</v>
      </c>
      <c r="F28" s="48">
        <f t="shared" si="3"/>
        <v>0</v>
      </c>
      <c r="G28" s="48">
        <f t="shared" si="4"/>
        <v>0.45541451506400871</v>
      </c>
      <c r="H28" s="30">
        <f t="shared" si="5"/>
        <v>0</v>
      </c>
    </row>
    <row r="29" spans="2:8" x14ac:dyDescent="0.25">
      <c r="B29" s="26">
        <v>26</v>
      </c>
      <c r="C29" s="52">
        <f t="shared" si="0"/>
        <v>5.3169184515780087E-2</v>
      </c>
      <c r="D29" s="52">
        <f t="shared" si="1"/>
        <v>5.0499682091674859E-2</v>
      </c>
      <c r="E29" s="48">
        <f t="shared" si="2"/>
        <v>-2.6695024241052273E-3</v>
      </c>
      <c r="F29" s="48">
        <f t="shared" si="3"/>
        <v>0</v>
      </c>
      <c r="G29" s="48">
        <f t="shared" si="4"/>
        <v>5.3169184515780087E-2</v>
      </c>
      <c r="H29" s="30">
        <f t="shared" si="5"/>
        <v>0</v>
      </c>
    </row>
    <row r="30" spans="2:8" x14ac:dyDescent="0.25">
      <c r="B30" s="26">
        <v>27</v>
      </c>
      <c r="C30" s="52">
        <f t="shared" si="0"/>
        <v>7.7708808138447827E-2</v>
      </c>
      <c r="D30" s="52">
        <f t="shared" si="1"/>
        <v>7.3807227672447878E-2</v>
      </c>
      <c r="E30" s="48">
        <f t="shared" si="2"/>
        <v>-3.9015804659999487E-3</v>
      </c>
      <c r="F30" s="48">
        <f t="shared" si="3"/>
        <v>0</v>
      </c>
      <c r="G30" s="48">
        <f t="shared" si="4"/>
        <v>7.7708808138447827E-2</v>
      </c>
      <c r="H30" s="30">
        <f t="shared" si="5"/>
        <v>0</v>
      </c>
    </row>
    <row r="31" spans="2:8" x14ac:dyDescent="0.25">
      <c r="B31" s="26">
        <v>28</v>
      </c>
      <c r="C31" s="52">
        <f t="shared" si="0"/>
        <v>2.4539623622667733E-2</v>
      </c>
      <c r="D31" s="52">
        <f t="shared" si="1"/>
        <v>2.3307545580773012E-2</v>
      </c>
      <c r="E31" s="48">
        <f t="shared" si="2"/>
        <v>-1.2320780418947214E-3</v>
      </c>
      <c r="F31" s="48">
        <f t="shared" si="3"/>
        <v>0</v>
      </c>
      <c r="G31" s="48">
        <f t="shared" si="4"/>
        <v>2.4539623622667733E-2</v>
      </c>
      <c r="H31" s="30">
        <f t="shared" si="5"/>
        <v>0</v>
      </c>
    </row>
    <row r="32" spans="2:8" x14ac:dyDescent="0.25">
      <c r="B32" s="26">
        <v>29</v>
      </c>
      <c r="C32" s="52">
        <f t="shared" si="0"/>
        <v>0.60837816897863761</v>
      </c>
      <c r="D32" s="52">
        <f t="shared" si="1"/>
        <v>0.57783290085666428</v>
      </c>
      <c r="E32" s="48">
        <f t="shared" si="2"/>
        <v>-3.0545268121973335E-2</v>
      </c>
      <c r="F32" s="48">
        <f t="shared" si="3"/>
        <v>0</v>
      </c>
      <c r="G32" s="48">
        <f t="shared" si="4"/>
        <v>0.60837816897863761</v>
      </c>
      <c r="H32" s="30">
        <f t="shared" si="5"/>
        <v>0</v>
      </c>
    </row>
    <row r="33" spans="2:8" x14ac:dyDescent="0.25">
      <c r="B33" s="26">
        <v>30</v>
      </c>
      <c r="C33" s="52">
        <f t="shared" si="0"/>
        <v>5.3169184515780087E-2</v>
      </c>
      <c r="D33" s="52">
        <f t="shared" si="1"/>
        <v>5.0499682091674859E-2</v>
      </c>
      <c r="E33" s="48">
        <f t="shared" si="2"/>
        <v>-2.6695024241052273E-3</v>
      </c>
      <c r="F33" s="48">
        <f t="shared" si="3"/>
        <v>0</v>
      </c>
      <c r="G33" s="48">
        <f t="shared" si="4"/>
        <v>5.3169184515780087E-2</v>
      </c>
      <c r="H33" s="30">
        <f t="shared" si="5"/>
        <v>0</v>
      </c>
    </row>
    <row r="34" spans="2:8" x14ac:dyDescent="0.25">
      <c r="B34" s="26">
        <v>31</v>
      </c>
      <c r="C34" s="52">
        <f t="shared" si="0"/>
        <v>0.50060832190242177</v>
      </c>
      <c r="D34" s="52">
        <f t="shared" si="1"/>
        <v>0.47547392984776948</v>
      </c>
      <c r="E34" s="48">
        <f t="shared" si="2"/>
        <v>-2.5134392054652288E-2</v>
      </c>
      <c r="F34" s="48">
        <f t="shared" si="3"/>
        <v>0</v>
      </c>
      <c r="G34" s="48">
        <f t="shared" si="4"/>
        <v>0.50060832190242177</v>
      </c>
      <c r="H34" s="30">
        <f t="shared" si="5"/>
        <v>0</v>
      </c>
    </row>
    <row r="35" spans="2:8" x14ac:dyDescent="0.25">
      <c r="B35" s="26">
        <v>32</v>
      </c>
      <c r="C35" s="52">
        <f t="shared" si="0"/>
        <v>2.7879296839817725E-3</v>
      </c>
      <c r="D35" s="52">
        <f t="shared" si="1"/>
        <v>1.3236804215011326E-3</v>
      </c>
      <c r="E35" s="48">
        <f t="shared" si="2"/>
        <v>-1.4642492624806398E-3</v>
      </c>
      <c r="F35" s="48">
        <f t="shared" si="3"/>
        <v>0</v>
      </c>
      <c r="G35" s="48">
        <f t="shared" si="4"/>
        <v>2.7879296839817725E-3</v>
      </c>
      <c r="H35" s="30">
        <f t="shared" si="5"/>
        <v>0</v>
      </c>
    </row>
    <row r="36" spans="2:8" x14ac:dyDescent="0.25">
      <c r="B36" s="26">
        <v>33</v>
      </c>
      <c r="C36" s="52">
        <f t="shared" si="0"/>
        <v>1.1017029876954184E-2</v>
      </c>
      <c r="D36" s="52">
        <f t="shared" si="1"/>
        <v>6.023170377557876E-3</v>
      </c>
      <c r="E36" s="48">
        <f t="shared" si="2"/>
        <v>-4.993859499396308E-3</v>
      </c>
      <c r="F36" s="48">
        <f t="shared" si="3"/>
        <v>0</v>
      </c>
      <c r="G36" s="48">
        <f t="shared" si="4"/>
        <v>1.1017029876954184E-2</v>
      </c>
      <c r="H36" s="30">
        <f t="shared" si="5"/>
        <v>0</v>
      </c>
    </row>
    <row r="37" spans="2:8" x14ac:dyDescent="0.25">
      <c r="B37" s="26">
        <v>34</v>
      </c>
      <c r="C37" s="52">
        <f t="shared" si="0"/>
        <v>3.4475355795459397E-3</v>
      </c>
      <c r="D37" s="52">
        <f t="shared" si="1"/>
        <v>7.6608878998997096E-4</v>
      </c>
      <c r="E37" s="48">
        <f t="shared" si="2"/>
        <v>-2.6814467895559689E-3</v>
      </c>
      <c r="F37" s="48">
        <f t="shared" si="3"/>
        <v>0</v>
      </c>
      <c r="G37" s="48">
        <f t="shared" si="4"/>
        <v>3.4475355795459397E-3</v>
      </c>
      <c r="H37" s="30">
        <f t="shared" si="5"/>
        <v>0</v>
      </c>
    </row>
    <row r="38" spans="2:8" x14ac:dyDescent="0.25">
      <c r="B38" s="26">
        <v>35</v>
      </c>
      <c r="C38" s="52">
        <f t="shared" si="0"/>
        <v>0.17556413796734441</v>
      </c>
      <c r="D38" s="52">
        <f t="shared" si="1"/>
        <v>9.9478252044341894E-2</v>
      </c>
      <c r="E38" s="48">
        <f t="shared" si="2"/>
        <v>-7.6085885923002514E-2</v>
      </c>
      <c r="F38" s="48">
        <f t="shared" si="3"/>
        <v>0</v>
      </c>
      <c r="G38" s="48">
        <f t="shared" si="4"/>
        <v>0.17556413796734441</v>
      </c>
      <c r="H38" s="30">
        <f t="shared" si="5"/>
        <v>0</v>
      </c>
    </row>
    <row r="39" spans="2:8" x14ac:dyDescent="0.25">
      <c r="B39" s="26">
        <v>36</v>
      </c>
      <c r="C39" s="52">
        <f t="shared" si="0"/>
        <v>2.9493042625604107E-3</v>
      </c>
      <c r="D39" s="52">
        <f t="shared" si="1"/>
        <v>1.1944592943257117E-3</v>
      </c>
      <c r="E39" s="48">
        <f t="shared" si="2"/>
        <v>-1.754844968234699E-3</v>
      </c>
      <c r="F39" s="48">
        <f t="shared" si="3"/>
        <v>0</v>
      </c>
      <c r="G39" s="48">
        <f t="shared" si="4"/>
        <v>2.9493042625604107E-3</v>
      </c>
      <c r="H39" s="30">
        <f t="shared" si="5"/>
        <v>0</v>
      </c>
    </row>
    <row r="40" spans="2:8" x14ac:dyDescent="0.25">
      <c r="B40" s="26">
        <v>37</v>
      </c>
      <c r="C40" s="52">
        <f t="shared" si="0"/>
        <v>0.14168514254491729</v>
      </c>
      <c r="D40" s="52">
        <f t="shared" si="1"/>
        <v>8.3606549747759426E-2</v>
      </c>
      <c r="E40" s="48">
        <f t="shared" si="2"/>
        <v>-5.8078592797157866E-2</v>
      </c>
      <c r="F40" s="48">
        <f t="shared" si="3"/>
        <v>0</v>
      </c>
      <c r="G40" s="48">
        <f t="shared" si="4"/>
        <v>0.14168514254491729</v>
      </c>
      <c r="H40" s="30">
        <f t="shared" si="5"/>
        <v>0</v>
      </c>
    </row>
    <row r="41" spans="2:8" x14ac:dyDescent="0.25">
      <c r="B41" s="26">
        <v>38</v>
      </c>
      <c r="C41" s="52">
        <f t="shared" si="0"/>
        <v>2.3675041858742143E-3</v>
      </c>
      <c r="D41" s="52">
        <f t="shared" si="1"/>
        <v>7.1401318197343187E-4</v>
      </c>
      <c r="E41" s="48">
        <f t="shared" si="2"/>
        <v>-1.6534910039007825E-3</v>
      </c>
      <c r="F41" s="48">
        <f t="shared" si="3"/>
        <v>0</v>
      </c>
      <c r="G41" s="48">
        <f t="shared" si="4"/>
        <v>2.3675041858742143E-3</v>
      </c>
      <c r="H41" s="30">
        <f t="shared" si="5"/>
        <v>0</v>
      </c>
    </row>
    <row r="42" spans="2:8" x14ac:dyDescent="0.25">
      <c r="B42" s="26">
        <v>39</v>
      </c>
      <c r="C42" s="52">
        <f t="shared" si="0"/>
        <v>8.5598758664347588E-3</v>
      </c>
      <c r="D42" s="52">
        <f t="shared" si="1"/>
        <v>4.4384098694419255E-3</v>
      </c>
      <c r="E42" s="48">
        <f t="shared" si="2"/>
        <v>-4.1214659969928333E-3</v>
      </c>
      <c r="F42" s="48">
        <f t="shared" si="3"/>
        <v>0</v>
      </c>
      <c r="G42" s="48">
        <f t="shared" si="4"/>
        <v>8.5598758664347588E-3</v>
      </c>
      <c r="H42" s="30">
        <f t="shared" si="5"/>
        <v>0</v>
      </c>
    </row>
    <row r="43" spans="2:8" x14ac:dyDescent="0.25">
      <c r="B43" s="26">
        <v>40</v>
      </c>
      <c r="C43" s="52">
        <f t="shared" si="0"/>
        <v>1.7729424376846802E-3</v>
      </c>
      <c r="D43" s="52">
        <f t="shared" si="1"/>
        <v>5.8688968629825992E-4</v>
      </c>
      <c r="E43" s="48">
        <f t="shared" si="2"/>
        <v>-1.1860527513864203E-3</v>
      </c>
      <c r="F43" s="48">
        <f t="shared" si="3"/>
        <v>0</v>
      </c>
      <c r="G43" s="48">
        <f t="shared" si="4"/>
        <v>1.7729424376846802E-3</v>
      </c>
      <c r="H43" s="30">
        <f t="shared" si="5"/>
        <v>0</v>
      </c>
    </row>
    <row r="44" spans="2:8" x14ac:dyDescent="0.25">
      <c r="B44" s="26">
        <v>41</v>
      </c>
      <c r="C44" s="52">
        <f t="shared" si="0"/>
        <v>0.1217486708950388</v>
      </c>
      <c r="D44" s="52">
        <f t="shared" si="1"/>
        <v>6.4725367384323954E-2</v>
      </c>
      <c r="E44" s="48">
        <f t="shared" si="2"/>
        <v>-5.7023303510714843E-2</v>
      </c>
      <c r="F44" s="48">
        <f t="shared" si="3"/>
        <v>0</v>
      </c>
      <c r="G44" s="48">
        <f t="shared" si="4"/>
        <v>0.1217486708950388</v>
      </c>
      <c r="H44" s="30">
        <f t="shared" si="5"/>
        <v>0</v>
      </c>
    </row>
    <row r="45" spans="2:8" x14ac:dyDescent="0.25">
      <c r="B45" s="26">
        <v>42</v>
      </c>
      <c r="C45" s="52">
        <f t="shared" si="0"/>
        <v>1.9388564027712171E-3</v>
      </c>
      <c r="D45" s="52">
        <f t="shared" si="1"/>
        <v>9.8296709156706248E-4</v>
      </c>
      <c r="E45" s="48">
        <f t="shared" si="2"/>
        <v>-9.5588931120415459E-4</v>
      </c>
      <c r="F45" s="48">
        <f t="shared" si="3"/>
        <v>0</v>
      </c>
      <c r="G45" s="48">
        <f t="shared" si="4"/>
        <v>1.9388564027712171E-3</v>
      </c>
      <c r="H45" s="30">
        <f t="shared" si="5"/>
        <v>0</v>
      </c>
    </row>
    <row r="46" spans="2:8" x14ac:dyDescent="0.25">
      <c r="B46" s="26">
        <v>43</v>
      </c>
      <c r="C46" s="52">
        <f t="shared" si="0"/>
        <v>9.9372431941454176E-2</v>
      </c>
      <c r="D46" s="52">
        <f t="shared" si="1"/>
        <v>5.6136729312927597E-2</v>
      </c>
      <c r="E46" s="48">
        <f t="shared" si="2"/>
        <v>-4.3235702628526579E-2</v>
      </c>
      <c r="F46" s="48">
        <f t="shared" si="3"/>
        <v>0</v>
      </c>
      <c r="G46" s="48">
        <f t="shared" si="4"/>
        <v>9.9372431941454176E-2</v>
      </c>
      <c r="H46" s="30">
        <f t="shared" si="5"/>
        <v>0</v>
      </c>
    </row>
    <row r="47" spans="2:8" x14ac:dyDescent="0.25">
      <c r="B47" s="26">
        <v>44</v>
      </c>
      <c r="C47" s="52">
        <f t="shared" si="0"/>
        <v>1.5372124633957999E-3</v>
      </c>
      <c r="D47" s="52">
        <f t="shared" si="1"/>
        <v>5.7016628234241636E-4</v>
      </c>
      <c r="E47" s="48">
        <f t="shared" si="2"/>
        <v>-9.6704618105338349E-4</v>
      </c>
      <c r="F47" s="48">
        <f t="shared" si="3"/>
        <v>0</v>
      </c>
      <c r="G47" s="48">
        <f t="shared" si="4"/>
        <v>1.5372124633957999E-3</v>
      </c>
      <c r="H47" s="30">
        <f t="shared" si="5"/>
        <v>0</v>
      </c>
    </row>
    <row r="48" spans="2:8" x14ac:dyDescent="0.25">
      <c r="B48" s="26">
        <v>45</v>
      </c>
      <c r="C48" s="52">
        <f t="shared" si="0"/>
        <v>7.4262283226886085E-3</v>
      </c>
      <c r="D48" s="52">
        <f t="shared" si="1"/>
        <v>3.8783461856775983E-3</v>
      </c>
      <c r="E48" s="48">
        <f t="shared" si="2"/>
        <v>-3.5478821370110102E-3</v>
      </c>
      <c r="F48" s="48">
        <f t="shared" si="3"/>
        <v>0</v>
      </c>
      <c r="G48" s="48">
        <f t="shared" si="4"/>
        <v>7.4262283226886085E-3</v>
      </c>
      <c r="H48" s="30">
        <f t="shared" si="5"/>
        <v>0</v>
      </c>
    </row>
    <row r="49" spans="1:23" x14ac:dyDescent="0.25">
      <c r="B49" s="26">
        <v>46</v>
      </c>
      <c r="C49" s="52">
        <f t="shared" si="0"/>
        <v>5.5167984011882706E-4</v>
      </c>
      <c r="D49" s="52">
        <f t="shared" si="1"/>
        <v>7.832230684136338E-4</v>
      </c>
      <c r="E49" s="48">
        <f t="shared" si="2"/>
        <v>2.3154322829480674E-4</v>
      </c>
      <c r="F49" s="48">
        <f t="shared" si="3"/>
        <v>0</v>
      </c>
      <c r="G49" s="48">
        <f t="shared" si="4"/>
        <v>5.5167984011882706E-4</v>
      </c>
      <c r="H49" s="30">
        <f t="shared" si="5"/>
        <v>0</v>
      </c>
    </row>
    <row r="50" spans="1:23" x14ac:dyDescent="0.25">
      <c r="B50" s="26">
        <v>47</v>
      </c>
      <c r="C50" s="52">
        <f t="shared" si="0"/>
        <v>8.1578281541354589E-2</v>
      </c>
      <c r="D50" s="52">
        <f t="shared" si="1"/>
        <v>5.187867350024037E-2</v>
      </c>
      <c r="E50" s="48">
        <f t="shared" si="2"/>
        <v>-2.9699608041114219E-2</v>
      </c>
      <c r="F50" s="48">
        <f t="shared" si="3"/>
        <v>0</v>
      </c>
      <c r="G50" s="48">
        <f t="shared" si="4"/>
        <v>8.1578281541354589E-2</v>
      </c>
      <c r="H50" s="30">
        <f t="shared" si="5"/>
        <v>0</v>
      </c>
    </row>
    <row r="51" spans="1:23" x14ac:dyDescent="0.25">
      <c r="B51" s="26">
        <v>48</v>
      </c>
      <c r="C51" s="52">
        <f t="shared" si="0"/>
        <v>2.071477454952115E-3</v>
      </c>
      <c r="D51" s="52">
        <f t="shared" si="1"/>
        <v>1.3487218358676325E-3</v>
      </c>
      <c r="E51" s="48">
        <f t="shared" si="2"/>
        <v>-7.2275561908448252E-4</v>
      </c>
      <c r="F51" s="48">
        <f t="shared" si="3"/>
        <v>0</v>
      </c>
      <c r="G51" s="48">
        <f t="shared" si="4"/>
        <v>2.071477454952115E-3</v>
      </c>
      <c r="H51" s="30">
        <f t="shared" si="5"/>
        <v>0</v>
      </c>
    </row>
    <row r="52" spans="1:23" x14ac:dyDescent="0.25">
      <c r="B52" s="26">
        <v>49</v>
      </c>
      <c r="C52" s="52">
        <f t="shared" si="0"/>
        <v>7.0105746864087604E-2</v>
      </c>
      <c r="D52" s="52">
        <f t="shared" si="1"/>
        <v>4.3518727035231623E-2</v>
      </c>
      <c r="E52" s="48">
        <f t="shared" si="2"/>
        <v>-2.658701982885598E-2</v>
      </c>
      <c r="F52" s="48">
        <f t="shared" si="3"/>
        <v>0</v>
      </c>
      <c r="G52" s="48">
        <f t="shared" si="4"/>
        <v>7.0105746864087604E-2</v>
      </c>
      <c r="H52" s="30">
        <f t="shared" si="5"/>
        <v>0</v>
      </c>
    </row>
    <row r="53" spans="1:23" x14ac:dyDescent="0.25">
      <c r="B53" s="26">
        <v>50</v>
      </c>
      <c r="C53" s="52">
        <f t="shared" si="0"/>
        <v>9.2245105702327447E-4</v>
      </c>
      <c r="D53" s="52">
        <f t="shared" si="1"/>
        <v>6.2293702759612228E-4</v>
      </c>
      <c r="E53" s="48">
        <f t="shared" si="2"/>
        <v>-2.9951402942715219E-4</v>
      </c>
      <c r="F53" s="48">
        <f t="shared" si="3"/>
        <v>0</v>
      </c>
      <c r="G53" s="48">
        <f t="shared" si="4"/>
        <v>9.2245105702327447E-4</v>
      </c>
      <c r="H53" s="30">
        <f t="shared" si="5"/>
        <v>0</v>
      </c>
    </row>
    <row r="54" spans="1:23" x14ac:dyDescent="0.25">
      <c r="C54" s="32"/>
      <c r="D54" s="32"/>
      <c r="E54" s="32"/>
      <c r="F54" s="32"/>
      <c r="G54" s="32"/>
      <c r="H54" s="30"/>
    </row>
    <row r="55" spans="1:23" x14ac:dyDescent="0.25">
      <c r="F55" s="26" t="s">
        <v>85</v>
      </c>
      <c r="G55" s="29">
        <f>IF(H4=0,0,100*H55/H4)</f>
        <v>0</v>
      </c>
      <c r="H55" s="29">
        <f>SQRT(SUMSQ(H5:H53))</f>
        <v>0</v>
      </c>
      <c r="I55" s="26" t="s">
        <v>52</v>
      </c>
      <c r="J55" s="29"/>
    </row>
    <row r="56" spans="1:23" x14ac:dyDescent="0.25">
      <c r="F56" s="26" t="s">
        <v>86</v>
      </c>
      <c r="G56" s="29">
        <f>SQRT(SUMSQ(G4:G53))</f>
        <v>100.20459071320039</v>
      </c>
      <c r="H56" s="29">
        <f>SQRT(SUMSQ(H4:H53))</f>
        <v>0</v>
      </c>
      <c r="I56" s="26" t="s">
        <v>54</v>
      </c>
    </row>
    <row r="57" spans="1:23" x14ac:dyDescent="0.25">
      <c r="G57" s="26" t="s">
        <v>87</v>
      </c>
      <c r="H57" s="26" t="s">
        <v>13</v>
      </c>
    </row>
    <row r="59" spans="1:23" ht="14.4" x14ac:dyDescent="0.3">
      <c r="A59" s="25" t="s">
        <v>63</v>
      </c>
      <c r="C59"/>
      <c r="D59"/>
      <c r="E59"/>
      <c r="F59"/>
      <c r="G59"/>
      <c r="H59"/>
      <c r="I59"/>
      <c r="J59"/>
      <c r="K59"/>
      <c r="L59"/>
      <c r="M59"/>
      <c r="N59"/>
      <c r="O59"/>
      <c r="P59"/>
      <c r="Q59"/>
      <c r="R59"/>
      <c r="S59"/>
      <c r="T59"/>
      <c r="U59"/>
    </row>
    <row r="60" spans="1:23" ht="14.4" x14ac:dyDescent="0.3">
      <c r="C60" s="1" t="s">
        <v>478</v>
      </c>
      <c r="D60" s="7">
        <f>100/D62</f>
        <v>1000</v>
      </c>
      <c r="E60" s="7">
        <f t="shared" ref="E60:U60" si="6">100/E62</f>
        <v>200</v>
      </c>
      <c r="F60" s="7">
        <f t="shared" si="6"/>
        <v>100</v>
      </c>
      <c r="G60" s="7">
        <f t="shared" si="6"/>
        <v>50</v>
      </c>
      <c r="H60" s="7">
        <f t="shared" si="6"/>
        <v>33.333333333333336</v>
      </c>
      <c r="I60" s="7">
        <f t="shared" si="6"/>
        <v>25</v>
      </c>
      <c r="J60" s="7">
        <f t="shared" si="6"/>
        <v>20</v>
      </c>
      <c r="K60" s="7">
        <f t="shared" si="6"/>
        <v>16.666666666666668</v>
      </c>
      <c r="L60" s="7">
        <f t="shared" si="6"/>
        <v>14.285714285714286</v>
      </c>
      <c r="M60" s="7">
        <f t="shared" si="6"/>
        <v>12.5</v>
      </c>
      <c r="N60" s="7">
        <f t="shared" si="6"/>
        <v>10</v>
      </c>
      <c r="O60" s="7">
        <f t="shared" si="6"/>
        <v>8.3333333333333339</v>
      </c>
      <c r="P60" s="7">
        <f t="shared" si="6"/>
        <v>7.1428571428571432</v>
      </c>
      <c r="Q60" s="7">
        <f t="shared" si="6"/>
        <v>5.5555555555555554</v>
      </c>
      <c r="R60" s="7">
        <f t="shared" si="6"/>
        <v>4.7619047619047619</v>
      </c>
      <c r="S60" s="7">
        <f t="shared" si="6"/>
        <v>1</v>
      </c>
      <c r="T60" s="7">
        <f t="shared" si="6"/>
        <v>0.1</v>
      </c>
      <c r="U60" s="7">
        <f t="shared" si="6"/>
        <v>0.01</v>
      </c>
      <c r="W60" s="54" t="s">
        <v>1045</v>
      </c>
    </row>
    <row r="61" spans="1:23" ht="14.4" x14ac:dyDescent="0.3">
      <c r="C61" s="1" t="s">
        <v>64</v>
      </c>
      <c r="D61">
        <v>0</v>
      </c>
      <c r="E61">
        <v>1</v>
      </c>
      <c r="F61">
        <v>2</v>
      </c>
      <c r="G61">
        <v>3</v>
      </c>
      <c r="H61">
        <v>4</v>
      </c>
      <c r="I61">
        <v>5</v>
      </c>
      <c r="J61">
        <v>6</v>
      </c>
      <c r="K61">
        <v>7</v>
      </c>
      <c r="L61">
        <v>8</v>
      </c>
      <c r="M61">
        <v>9</v>
      </c>
      <c r="N61">
        <v>10</v>
      </c>
      <c r="O61">
        <v>11</v>
      </c>
      <c r="P61">
        <v>12</v>
      </c>
      <c r="Q61">
        <v>13</v>
      </c>
      <c r="R61">
        <v>14</v>
      </c>
      <c r="S61">
        <v>15</v>
      </c>
      <c r="T61">
        <v>16</v>
      </c>
      <c r="U61">
        <v>17</v>
      </c>
    </row>
    <row r="62" spans="1:23" ht="14.4" x14ac:dyDescent="0.3">
      <c r="A62" s="26" t="s">
        <v>65</v>
      </c>
      <c r="B62" s="54"/>
      <c r="C62" s="216" t="s">
        <v>1</v>
      </c>
      <c r="D62" s="296">
        <v>0.1</v>
      </c>
      <c r="E62" s="296">
        <v>0.5</v>
      </c>
      <c r="F62" s="296">
        <v>1</v>
      </c>
      <c r="G62" s="296">
        <v>2</v>
      </c>
      <c r="H62" s="296">
        <v>3</v>
      </c>
      <c r="I62" s="296">
        <v>4</v>
      </c>
      <c r="J62" s="296">
        <v>5</v>
      </c>
      <c r="K62" s="296">
        <v>6</v>
      </c>
      <c r="L62" s="296">
        <v>7</v>
      </c>
      <c r="M62" s="296">
        <v>8</v>
      </c>
      <c r="N62" s="296">
        <v>10</v>
      </c>
      <c r="O62" s="296">
        <v>12</v>
      </c>
      <c r="P62" s="296">
        <v>14</v>
      </c>
      <c r="Q62" s="296">
        <v>18</v>
      </c>
      <c r="R62" s="296">
        <v>21</v>
      </c>
      <c r="S62" s="296">
        <v>100</v>
      </c>
      <c r="T62" s="296">
        <v>1000</v>
      </c>
      <c r="U62" s="296">
        <v>10000</v>
      </c>
    </row>
    <row r="63" spans="1:23" ht="14.4" x14ac:dyDescent="0.3">
      <c r="A63" s="31"/>
      <c r="C63" s="1" t="s">
        <v>64</v>
      </c>
      <c r="D63">
        <v>0</v>
      </c>
      <c r="E63">
        <v>1</v>
      </c>
      <c r="F63">
        <v>2</v>
      </c>
      <c r="G63">
        <v>3</v>
      </c>
      <c r="H63">
        <v>4</v>
      </c>
      <c r="I63">
        <v>5</v>
      </c>
      <c r="J63">
        <v>6</v>
      </c>
      <c r="K63">
        <v>7</v>
      </c>
      <c r="L63">
        <v>8</v>
      </c>
      <c r="M63">
        <v>9</v>
      </c>
      <c r="N63">
        <v>10</v>
      </c>
      <c r="O63">
        <v>11</v>
      </c>
      <c r="P63">
        <v>12</v>
      </c>
      <c r="Q63">
        <v>13</v>
      </c>
      <c r="R63">
        <v>14</v>
      </c>
      <c r="S63">
        <v>15</v>
      </c>
      <c r="T63">
        <v>16</v>
      </c>
      <c r="U63">
        <v>17</v>
      </c>
    </row>
    <row r="64" spans="1:23" ht="14.4" x14ac:dyDescent="0.3">
      <c r="A64" s="43">
        <v>2</v>
      </c>
      <c r="B64" s="43"/>
      <c r="C64"/>
      <c r="D64" s="318">
        <v>1.2515208047560544</v>
      </c>
      <c r="E64" s="318">
        <v>1.1886848246194237</v>
      </c>
      <c r="F64" s="318">
        <v>1.107277753078536</v>
      </c>
      <c r="G64" s="318">
        <v>0.97908631638367616</v>
      </c>
      <c r="H64" s="318">
        <v>0.87430462687301835</v>
      </c>
      <c r="I64" s="318">
        <v>0.81590525447365914</v>
      </c>
      <c r="J64" s="318">
        <v>0.78072490965476804</v>
      </c>
      <c r="K64" s="318">
        <v>0.76313473724532244</v>
      </c>
      <c r="L64" s="318">
        <v>0.76313473724532244</v>
      </c>
      <c r="M64" s="318">
        <v>0.76313473724532244</v>
      </c>
      <c r="N64" s="318">
        <v>0.76313473724532244</v>
      </c>
      <c r="O64" s="318">
        <v>0.76313473724532244</v>
      </c>
      <c r="P64" s="318">
        <v>0.76313473724532244</v>
      </c>
      <c r="Q64" s="318">
        <v>0.76313473724532244</v>
      </c>
      <c r="R64" s="318">
        <v>0.76313473724532244</v>
      </c>
      <c r="S64" s="318">
        <v>0.76313473724532244</v>
      </c>
      <c r="T64" s="318">
        <v>0.76313473724532244</v>
      </c>
      <c r="U64" s="318">
        <v>0.76313473724532244</v>
      </c>
    </row>
    <row r="65" spans="1:21" ht="14.4" x14ac:dyDescent="0.3">
      <c r="A65" s="43">
        <v>3</v>
      </c>
      <c r="B65" s="43"/>
      <c r="C65"/>
      <c r="D65" s="318">
        <v>2.32717430688299</v>
      </c>
      <c r="E65" s="318">
        <v>2.2103322392433076</v>
      </c>
      <c r="F65" s="318">
        <v>2.0589576519662978</v>
      </c>
      <c r="G65" s="318">
        <v>1.8205886079160514</v>
      </c>
      <c r="H65" s="318">
        <v>1.6257494532377368</v>
      </c>
      <c r="I65" s="318">
        <v>1.5171571561944839</v>
      </c>
      <c r="J65" s="318">
        <v>1.4517401097828857</v>
      </c>
      <c r="K65" s="318">
        <v>1.4190315865770866</v>
      </c>
      <c r="L65" s="318">
        <v>1.4190315865770866</v>
      </c>
      <c r="M65" s="318">
        <v>1.4190315865770866</v>
      </c>
      <c r="N65" s="318">
        <v>1.4190315865770866</v>
      </c>
      <c r="O65" s="318">
        <v>1.4190315865770866</v>
      </c>
      <c r="P65" s="318">
        <v>1.4190315865770866</v>
      </c>
      <c r="Q65" s="318">
        <v>1.4190315865770866</v>
      </c>
      <c r="R65" s="318">
        <v>1.4190315865770866</v>
      </c>
      <c r="S65" s="318">
        <v>1.4190315865770866</v>
      </c>
      <c r="T65" s="318">
        <v>1.4190315865770866</v>
      </c>
      <c r="U65" s="318">
        <v>1.4190315865770866</v>
      </c>
    </row>
    <row r="66" spans="1:21" ht="14.4" x14ac:dyDescent="0.3">
      <c r="A66" s="43">
        <v>4</v>
      </c>
      <c r="B66" s="43"/>
      <c r="C66"/>
      <c r="D66" s="318">
        <v>0.17995723989956339</v>
      </c>
      <c r="E66" s="318">
        <v>0.17092200092566875</v>
      </c>
      <c r="F66" s="318">
        <v>0.15921640893939734</v>
      </c>
      <c r="G66" s="318">
        <v>0.14078365333621484</v>
      </c>
      <c r="H66" s="318">
        <v>0.12571700517128367</v>
      </c>
      <c r="I66" s="318">
        <v>0.11731970979359803</v>
      </c>
      <c r="J66" s="318">
        <v>0.11226109812029342</v>
      </c>
      <c r="K66" s="318">
        <v>0.10973179228364112</v>
      </c>
      <c r="L66" s="318">
        <v>0.10973179228364112</v>
      </c>
      <c r="M66" s="318">
        <v>0.10973179228364112</v>
      </c>
      <c r="N66" s="318">
        <v>0.10973179228364112</v>
      </c>
      <c r="O66" s="318">
        <v>0.10973179228364112</v>
      </c>
      <c r="P66" s="318">
        <v>0.10973179228364112</v>
      </c>
      <c r="Q66" s="318">
        <v>0.10973179228364112</v>
      </c>
      <c r="R66" s="318">
        <v>0.10973179228364112</v>
      </c>
      <c r="S66" s="318">
        <v>0.10973179228364112</v>
      </c>
      <c r="T66" s="318">
        <v>0.10973179228364112</v>
      </c>
      <c r="U66" s="318">
        <v>0.10973179228364112</v>
      </c>
    </row>
    <row r="67" spans="1:21" ht="14.4" x14ac:dyDescent="0.3">
      <c r="A67" s="43">
        <v>5</v>
      </c>
      <c r="B67" s="43"/>
      <c r="C67"/>
      <c r="D67" s="318">
        <v>4.0848248488565666</v>
      </c>
      <c r="E67" s="318">
        <v>3.8797351914661737</v>
      </c>
      <c r="F67" s="318">
        <v>3.6140315551868882</v>
      </c>
      <c r="G67" s="318">
        <v>3.1956289493078311</v>
      </c>
      <c r="H67" s="318">
        <v>2.8536331571549902</v>
      </c>
      <c r="I67" s="318">
        <v>2.6630240944626369</v>
      </c>
      <c r="J67" s="318">
        <v>2.5481993579009785</v>
      </c>
      <c r="K67" s="318">
        <v>2.4907869896201493</v>
      </c>
      <c r="L67" s="318">
        <v>2.4907869896201493</v>
      </c>
      <c r="M67" s="318">
        <v>2.4907869896201493</v>
      </c>
      <c r="N67" s="318">
        <v>2.4907869896201493</v>
      </c>
      <c r="O67" s="318">
        <v>2.4907869896201493</v>
      </c>
      <c r="P67" s="318">
        <v>2.4907869896201493</v>
      </c>
      <c r="Q67" s="318">
        <v>2.4907869896201493</v>
      </c>
      <c r="R67" s="318">
        <v>2.4907869896201493</v>
      </c>
      <c r="S67" s="318">
        <v>2.4907869896201493</v>
      </c>
      <c r="T67" s="318">
        <v>2.4907869896201493</v>
      </c>
      <c r="U67" s="318">
        <v>2.4907869896201493</v>
      </c>
    </row>
    <row r="68" spans="1:21" ht="14.4" x14ac:dyDescent="0.3">
      <c r="A68" s="43">
        <v>6</v>
      </c>
      <c r="B68" s="43"/>
      <c r="C68"/>
      <c r="D68" s="318">
        <v>2.4539623622667733E-2</v>
      </c>
      <c r="E68" s="318">
        <v>2.3307545580773012E-2</v>
      </c>
      <c r="F68" s="318">
        <v>2.1711328491736005E-2</v>
      </c>
      <c r="G68" s="318">
        <v>1.9197770909483845E-2</v>
      </c>
      <c r="H68" s="318">
        <v>1.7143227977902319E-2</v>
      </c>
      <c r="I68" s="318">
        <v>1.5998142244581549E-2</v>
      </c>
      <c r="J68" s="318">
        <v>1.5308331561858195E-2</v>
      </c>
      <c r="K68" s="318">
        <v>1.4963426220496517E-2</v>
      </c>
      <c r="L68" s="318">
        <v>1.4963426220496517E-2</v>
      </c>
      <c r="M68" s="318">
        <v>1.4963426220496517E-2</v>
      </c>
      <c r="N68" s="318">
        <v>1.4963426220496517E-2</v>
      </c>
      <c r="O68" s="318">
        <v>1.4963426220496517E-2</v>
      </c>
      <c r="P68" s="318">
        <v>1.4963426220496517E-2</v>
      </c>
      <c r="Q68" s="318">
        <v>1.4963426220496517E-2</v>
      </c>
      <c r="R68" s="318">
        <v>1.4963426220496517E-2</v>
      </c>
      <c r="S68" s="318">
        <v>1.4963426220496517E-2</v>
      </c>
      <c r="T68" s="318">
        <v>1.4963426220496517E-2</v>
      </c>
      <c r="U68" s="318">
        <v>1.4963426220496517E-2</v>
      </c>
    </row>
    <row r="69" spans="1:21" ht="14.4" x14ac:dyDescent="0.3">
      <c r="A69" s="43">
        <v>7</v>
      </c>
      <c r="B69" s="43"/>
      <c r="C69"/>
      <c r="D69" s="318">
        <v>1.9989568409298093</v>
      </c>
      <c r="E69" s="318">
        <v>1.8985938171004682</v>
      </c>
      <c r="F69" s="318">
        <v>1.7685686333893287</v>
      </c>
      <c r="G69" s="318">
        <v>1.5638184220017048</v>
      </c>
      <c r="H69" s="318">
        <v>1.3964587790332932</v>
      </c>
      <c r="I69" s="318">
        <v>1.3031820036732054</v>
      </c>
      <c r="J69" s="318">
        <v>1.246991175143032</v>
      </c>
      <c r="K69" s="318">
        <v>1.2188957608779454</v>
      </c>
      <c r="L69" s="318">
        <v>1.2188957608779454</v>
      </c>
      <c r="M69" s="318">
        <v>1.2188957608779454</v>
      </c>
      <c r="N69" s="318">
        <v>1.2188957608779454</v>
      </c>
      <c r="O69" s="318">
        <v>1.2188957608779454</v>
      </c>
      <c r="P69" s="318">
        <v>1.2188957608779454</v>
      </c>
      <c r="Q69" s="318">
        <v>1.2188957608779454</v>
      </c>
      <c r="R69" s="318">
        <v>1.2188957608779454</v>
      </c>
      <c r="S69" s="318">
        <v>1.2188957608779454</v>
      </c>
      <c r="T69" s="318">
        <v>1.2188957608779454</v>
      </c>
      <c r="U69" s="318">
        <v>1.2188957608779454</v>
      </c>
    </row>
    <row r="70" spans="1:21" ht="14.4" x14ac:dyDescent="0.3">
      <c r="A70" s="43">
        <v>8</v>
      </c>
      <c r="B70" s="43"/>
      <c r="C70"/>
      <c r="D70" s="318">
        <v>7.7708808138447827E-2</v>
      </c>
      <c r="E70" s="318">
        <v>7.3807227672447878E-2</v>
      </c>
      <c r="F70" s="318">
        <v>6.8752540223830677E-2</v>
      </c>
      <c r="G70" s="318">
        <v>6.0792941213365509E-2</v>
      </c>
      <c r="H70" s="318">
        <v>5.4286888596690688E-2</v>
      </c>
      <c r="I70" s="318">
        <v>5.066078377450825E-2</v>
      </c>
      <c r="J70" s="318">
        <v>4.8476383279217626E-2</v>
      </c>
      <c r="K70" s="318">
        <v>4.7384183031572311E-2</v>
      </c>
      <c r="L70" s="318">
        <v>4.7384183031572311E-2</v>
      </c>
      <c r="M70" s="318">
        <v>4.7384183031572311E-2</v>
      </c>
      <c r="N70" s="318">
        <v>4.7384183031572311E-2</v>
      </c>
      <c r="O70" s="318">
        <v>4.7384183031572311E-2</v>
      </c>
      <c r="P70" s="318">
        <v>4.7384183031572311E-2</v>
      </c>
      <c r="Q70" s="318">
        <v>4.7384183031572311E-2</v>
      </c>
      <c r="R70" s="318">
        <v>4.7384183031572311E-2</v>
      </c>
      <c r="S70" s="318">
        <v>4.7384183031572311E-2</v>
      </c>
      <c r="T70" s="318">
        <v>4.7384183031572311E-2</v>
      </c>
      <c r="U70" s="318">
        <v>4.7384183031572311E-2</v>
      </c>
    </row>
    <row r="71" spans="1:21" ht="14.4" x14ac:dyDescent="0.3">
      <c r="A71" s="43">
        <v>9</v>
      </c>
      <c r="B71" s="43"/>
      <c r="C71"/>
      <c r="D71" s="318">
        <v>7.7708808138447827E-2</v>
      </c>
      <c r="E71" s="318">
        <v>7.3807227672447878E-2</v>
      </c>
      <c r="F71" s="318">
        <v>6.8752540223830677E-2</v>
      </c>
      <c r="G71" s="318">
        <v>6.0792941213365509E-2</v>
      </c>
      <c r="H71" s="318">
        <v>5.4286888596690688E-2</v>
      </c>
      <c r="I71" s="318">
        <v>5.066078377450825E-2</v>
      </c>
      <c r="J71" s="318">
        <v>4.8476383279217626E-2</v>
      </c>
      <c r="K71" s="318">
        <v>4.7384183031572311E-2</v>
      </c>
      <c r="L71" s="318">
        <v>4.7384183031572311E-2</v>
      </c>
      <c r="M71" s="318">
        <v>4.7384183031572311E-2</v>
      </c>
      <c r="N71" s="318">
        <v>4.7384183031572311E-2</v>
      </c>
      <c r="O71" s="318">
        <v>4.7384183031572311E-2</v>
      </c>
      <c r="P71" s="318">
        <v>4.7384183031572311E-2</v>
      </c>
      <c r="Q71" s="318">
        <v>4.7384183031572311E-2</v>
      </c>
      <c r="R71" s="318">
        <v>4.7384183031572311E-2</v>
      </c>
      <c r="S71" s="318">
        <v>4.7384183031572311E-2</v>
      </c>
      <c r="T71" s="318">
        <v>4.7384183031572311E-2</v>
      </c>
      <c r="U71" s="318">
        <v>4.7384183031572311E-2</v>
      </c>
    </row>
    <row r="72" spans="1:21" ht="14.4" x14ac:dyDescent="0.3">
      <c r="A72" s="43">
        <v>10</v>
      </c>
      <c r="B72" s="43"/>
      <c r="C72"/>
      <c r="D72" s="318">
        <v>2.4539623622667733E-2</v>
      </c>
      <c r="E72" s="318">
        <v>2.3307545580773012E-2</v>
      </c>
      <c r="F72" s="318">
        <v>2.1711328491736005E-2</v>
      </c>
      <c r="G72" s="318">
        <v>1.9197770909483845E-2</v>
      </c>
      <c r="H72" s="318">
        <v>1.7143227977902319E-2</v>
      </c>
      <c r="I72" s="318">
        <v>1.5998142244581549E-2</v>
      </c>
      <c r="J72" s="318">
        <v>1.5308331561858195E-2</v>
      </c>
      <c r="K72" s="318">
        <v>1.4963426220496517E-2</v>
      </c>
      <c r="L72" s="318">
        <v>1.4963426220496517E-2</v>
      </c>
      <c r="M72" s="318">
        <v>1.4963426220496517E-2</v>
      </c>
      <c r="N72" s="318">
        <v>1.4963426220496517E-2</v>
      </c>
      <c r="O72" s="318">
        <v>1.4963426220496517E-2</v>
      </c>
      <c r="P72" s="318">
        <v>1.4963426220496517E-2</v>
      </c>
      <c r="Q72" s="318">
        <v>1.4963426220496517E-2</v>
      </c>
      <c r="R72" s="318">
        <v>1.4963426220496517E-2</v>
      </c>
      <c r="S72" s="318">
        <v>1.4963426220496517E-2</v>
      </c>
      <c r="T72" s="318">
        <v>1.4963426220496517E-2</v>
      </c>
      <c r="U72" s="318">
        <v>1.4963426220496517E-2</v>
      </c>
    </row>
    <row r="73" spans="1:21" ht="14.4" x14ac:dyDescent="0.3">
      <c r="A73" s="43">
        <v>11</v>
      </c>
      <c r="B73" s="43"/>
      <c r="C73"/>
      <c r="D73" s="318">
        <v>2.0441506477682228</v>
      </c>
      <c r="E73" s="318">
        <v>1.9415185468783922</v>
      </c>
      <c r="F73" s="318">
        <v>1.8085536633616095</v>
      </c>
      <c r="G73" s="318">
        <v>1.5991743167600043</v>
      </c>
      <c r="H73" s="318">
        <v>1.4280308905592634</v>
      </c>
      <c r="I73" s="318">
        <v>1.3326452489736433</v>
      </c>
      <c r="J73" s="318">
        <v>1.2751840191027879</v>
      </c>
      <c r="K73" s="318">
        <v>1.2464534041673601</v>
      </c>
      <c r="L73" s="318">
        <v>1.2464534041673601</v>
      </c>
      <c r="M73" s="318">
        <v>1.2464534041673601</v>
      </c>
      <c r="N73" s="318">
        <v>1.2464534041673601</v>
      </c>
      <c r="O73" s="318">
        <v>1.2464534041673601</v>
      </c>
      <c r="P73" s="318">
        <v>1.2464534041673601</v>
      </c>
      <c r="Q73" s="318">
        <v>1.2464534041673601</v>
      </c>
      <c r="R73" s="318">
        <v>1.2464534041673601</v>
      </c>
      <c r="S73" s="318">
        <v>1.2464534041673601</v>
      </c>
      <c r="T73" s="318">
        <v>1.2464534041673601</v>
      </c>
      <c r="U73" s="318">
        <v>1.2464534041673601</v>
      </c>
    </row>
    <row r="74" spans="1:21" ht="14.4" x14ac:dyDescent="0.3">
      <c r="A74" s="43">
        <v>12</v>
      </c>
      <c r="B74" s="43"/>
      <c r="C74"/>
      <c r="D74" s="318">
        <v>5.3169184515780087E-2</v>
      </c>
      <c r="E74" s="318">
        <v>5.0499682091674859E-2</v>
      </c>
      <c r="F74" s="318">
        <v>4.7041211732094676E-2</v>
      </c>
      <c r="G74" s="318">
        <v>4.1595170303881664E-2</v>
      </c>
      <c r="H74" s="318">
        <v>3.7143660618788356E-2</v>
      </c>
      <c r="I74" s="318">
        <v>3.4662641529926687E-2</v>
      </c>
      <c r="J74" s="318">
        <v>3.3168051717359419E-2</v>
      </c>
      <c r="K74" s="318">
        <v>3.2420756811075785E-2</v>
      </c>
      <c r="L74" s="318">
        <v>3.2420756811075785E-2</v>
      </c>
      <c r="M74" s="318">
        <v>3.2420756811075785E-2</v>
      </c>
      <c r="N74" s="318">
        <v>3.2420756811075785E-2</v>
      </c>
      <c r="O74" s="318">
        <v>3.2420756811075785E-2</v>
      </c>
      <c r="P74" s="318">
        <v>3.2420756811075785E-2</v>
      </c>
      <c r="Q74" s="318">
        <v>3.2420756811075785E-2</v>
      </c>
      <c r="R74" s="318">
        <v>3.2420756811075785E-2</v>
      </c>
      <c r="S74" s="318">
        <v>3.2420756811075785E-2</v>
      </c>
      <c r="T74" s="318">
        <v>3.2420756811075785E-2</v>
      </c>
      <c r="U74" s="318">
        <v>3.2420756811075785E-2</v>
      </c>
    </row>
    <row r="75" spans="1:21" ht="14.4" x14ac:dyDescent="0.3">
      <c r="A75" s="43">
        <v>13</v>
      </c>
      <c r="B75" s="43"/>
      <c r="C75"/>
      <c r="D75" s="318">
        <v>1.0220753238841114</v>
      </c>
      <c r="E75" s="318">
        <v>0.9707592734391961</v>
      </c>
      <c r="F75" s="318">
        <v>0.90427683168080475</v>
      </c>
      <c r="G75" s="318">
        <v>0.79958715838000216</v>
      </c>
      <c r="H75" s="318">
        <v>0.71401544527963168</v>
      </c>
      <c r="I75" s="318">
        <v>0.66632262448682167</v>
      </c>
      <c r="J75" s="318">
        <v>0.63759200955139395</v>
      </c>
      <c r="K75" s="318">
        <v>0.62322670208368003</v>
      </c>
      <c r="L75" s="318">
        <v>0.62322670208368003</v>
      </c>
      <c r="M75" s="318">
        <v>0.62322670208368003</v>
      </c>
      <c r="N75" s="318">
        <v>0.62322670208368003</v>
      </c>
      <c r="O75" s="318">
        <v>0.62322670208368003</v>
      </c>
      <c r="P75" s="318">
        <v>0.62322670208368003</v>
      </c>
      <c r="Q75" s="318">
        <v>0.62322670208368003</v>
      </c>
      <c r="R75" s="318">
        <v>0.62322670208368003</v>
      </c>
      <c r="S75" s="318">
        <v>0.62322670208368003</v>
      </c>
      <c r="T75" s="318">
        <v>0.62322670208368003</v>
      </c>
      <c r="U75" s="318">
        <v>0.62322670208368003</v>
      </c>
    </row>
    <row r="76" spans="1:21" ht="14.4" x14ac:dyDescent="0.3">
      <c r="A76" s="43">
        <v>14</v>
      </c>
      <c r="B76" s="43"/>
      <c r="C76"/>
      <c r="D76" s="318">
        <v>5.3169184515780087E-2</v>
      </c>
      <c r="E76" s="318">
        <v>5.0499682091674859E-2</v>
      </c>
      <c r="F76" s="318">
        <v>4.7041211732094676E-2</v>
      </c>
      <c r="G76" s="318">
        <v>4.1595170303881664E-2</v>
      </c>
      <c r="H76" s="318">
        <v>3.7143660618788356E-2</v>
      </c>
      <c r="I76" s="318">
        <v>3.4662641529926687E-2</v>
      </c>
      <c r="J76" s="318">
        <v>3.3168051717359419E-2</v>
      </c>
      <c r="K76" s="318">
        <v>3.2420756811075785E-2</v>
      </c>
      <c r="L76" s="318">
        <v>3.2420756811075785E-2</v>
      </c>
      <c r="M76" s="318">
        <v>3.2420756811075785E-2</v>
      </c>
      <c r="N76" s="318">
        <v>3.2420756811075785E-2</v>
      </c>
      <c r="O76" s="318">
        <v>3.2420756811075785E-2</v>
      </c>
      <c r="P76" s="318">
        <v>3.2420756811075785E-2</v>
      </c>
      <c r="Q76" s="318">
        <v>3.2420756811075785E-2</v>
      </c>
      <c r="R76" s="318">
        <v>3.2420756811075785E-2</v>
      </c>
      <c r="S76" s="318">
        <v>3.2420756811075785E-2</v>
      </c>
      <c r="T76" s="318">
        <v>3.2420756811075785E-2</v>
      </c>
      <c r="U76" s="318">
        <v>3.2420756811075785E-2</v>
      </c>
    </row>
    <row r="77" spans="1:21" ht="14.4" x14ac:dyDescent="0.3">
      <c r="A77" s="43">
        <v>15</v>
      </c>
      <c r="B77" s="43"/>
      <c r="C77"/>
      <c r="D77" s="318">
        <v>0.15541761627689565</v>
      </c>
      <c r="E77" s="318">
        <v>0.14761445534489576</v>
      </c>
      <c r="F77" s="318">
        <v>0.13750508044766135</v>
      </c>
      <c r="G77" s="318">
        <v>0.12158588242673102</v>
      </c>
      <c r="H77" s="318">
        <v>0.10857377719338138</v>
      </c>
      <c r="I77" s="318">
        <v>0.1013215675490165</v>
      </c>
      <c r="J77" s="318">
        <v>9.6952766558435252E-2</v>
      </c>
      <c r="K77" s="318">
        <v>9.4768366063144621E-2</v>
      </c>
      <c r="L77" s="318">
        <v>9.4768366063144621E-2</v>
      </c>
      <c r="M77" s="318">
        <v>9.4768366063144621E-2</v>
      </c>
      <c r="N77" s="318">
        <v>9.4768366063144621E-2</v>
      </c>
      <c r="O77" s="318">
        <v>9.4768366063144621E-2</v>
      </c>
      <c r="P77" s="318">
        <v>9.4768366063144621E-2</v>
      </c>
      <c r="Q77" s="318">
        <v>9.4768366063144621E-2</v>
      </c>
      <c r="R77" s="318">
        <v>9.4768366063144621E-2</v>
      </c>
      <c r="S77" s="318">
        <v>9.4768366063144621E-2</v>
      </c>
      <c r="T77" s="318">
        <v>9.4768366063144621E-2</v>
      </c>
      <c r="U77" s="318">
        <v>9.4768366063144621E-2</v>
      </c>
    </row>
    <row r="78" spans="1:21" ht="14.4" x14ac:dyDescent="0.3">
      <c r="A78" s="43">
        <v>16</v>
      </c>
      <c r="B78" s="43"/>
      <c r="C78"/>
      <c r="D78" s="318">
        <v>2.4539623622667733E-2</v>
      </c>
      <c r="E78" s="318">
        <v>2.3307545580773012E-2</v>
      </c>
      <c r="F78" s="318">
        <v>2.1711328491736005E-2</v>
      </c>
      <c r="G78" s="318">
        <v>1.9197770909483845E-2</v>
      </c>
      <c r="H78" s="318">
        <v>1.7143227977902319E-2</v>
      </c>
      <c r="I78" s="318">
        <v>1.5998142244581549E-2</v>
      </c>
      <c r="J78" s="318">
        <v>1.5308331561858195E-2</v>
      </c>
      <c r="K78" s="318">
        <v>1.4963426220496517E-2</v>
      </c>
      <c r="L78" s="318">
        <v>1.4963426220496517E-2</v>
      </c>
      <c r="M78" s="318">
        <v>1.4963426220496517E-2</v>
      </c>
      <c r="N78" s="318">
        <v>1.4963426220496517E-2</v>
      </c>
      <c r="O78" s="318">
        <v>1.4963426220496517E-2</v>
      </c>
      <c r="P78" s="318">
        <v>1.4963426220496517E-2</v>
      </c>
      <c r="Q78" s="318">
        <v>1.4963426220496517E-2</v>
      </c>
      <c r="R78" s="318">
        <v>1.4963426220496517E-2</v>
      </c>
      <c r="S78" s="318">
        <v>1.4963426220496517E-2</v>
      </c>
      <c r="T78" s="318">
        <v>1.4963426220496517E-2</v>
      </c>
      <c r="U78" s="318">
        <v>1.4963426220496517E-2</v>
      </c>
    </row>
    <row r="79" spans="1:21" ht="14.4" x14ac:dyDescent="0.3">
      <c r="A79" s="43">
        <v>17</v>
      </c>
      <c r="B79" s="43"/>
      <c r="C79"/>
      <c r="D79" s="318">
        <v>1.7173646598596972</v>
      </c>
      <c r="E79" s="318">
        <v>1.631139731561098</v>
      </c>
      <c r="F79" s="318">
        <v>1.5194311389466582</v>
      </c>
      <c r="G79" s="318">
        <v>1.3435240008153779</v>
      </c>
      <c r="H79" s="318">
        <v>1.1997402379868642</v>
      </c>
      <c r="I79" s="318">
        <v>1.1196033214166323</v>
      </c>
      <c r="J79" s="318">
        <v>1.0713280704707095</v>
      </c>
      <c r="K79" s="318">
        <v>1.047190444997748</v>
      </c>
      <c r="L79" s="318">
        <v>1.047190444997748</v>
      </c>
      <c r="M79" s="318">
        <v>1.047190444997748</v>
      </c>
      <c r="N79" s="318">
        <v>1.047190444997748</v>
      </c>
      <c r="O79" s="318">
        <v>1.047190444997748</v>
      </c>
      <c r="P79" s="318">
        <v>1.047190444997748</v>
      </c>
      <c r="Q79" s="318">
        <v>1.047190444997748</v>
      </c>
      <c r="R79" s="318">
        <v>1.047190444997748</v>
      </c>
      <c r="S79" s="318">
        <v>1.047190444997748</v>
      </c>
      <c r="T79" s="318">
        <v>1.047190444997748</v>
      </c>
      <c r="U79" s="318">
        <v>1.047190444997748</v>
      </c>
    </row>
    <row r="80" spans="1:21" ht="14.4" x14ac:dyDescent="0.3">
      <c r="A80" s="43">
        <v>18</v>
      </c>
      <c r="B80" s="43"/>
      <c r="C80"/>
      <c r="D80" s="318">
        <v>0.10224843176111557</v>
      </c>
      <c r="E80" s="318">
        <v>9.711477325322089E-2</v>
      </c>
      <c r="F80" s="318">
        <v>9.0463868715566678E-2</v>
      </c>
      <c r="G80" s="318">
        <v>7.9990712122849361E-2</v>
      </c>
      <c r="H80" s="318">
        <v>7.1430116574593014E-2</v>
      </c>
      <c r="I80" s="318">
        <v>6.6658926019089806E-2</v>
      </c>
      <c r="J80" s="318">
        <v>6.3784714841075826E-2</v>
      </c>
      <c r="K80" s="318">
        <v>6.2347609252068836E-2</v>
      </c>
      <c r="L80" s="318">
        <v>6.2347609252068836E-2</v>
      </c>
      <c r="M80" s="318">
        <v>6.2347609252068836E-2</v>
      </c>
      <c r="N80" s="318">
        <v>6.2347609252068836E-2</v>
      </c>
      <c r="O80" s="318">
        <v>6.2347609252068836E-2</v>
      </c>
      <c r="P80" s="318">
        <v>6.2347609252068836E-2</v>
      </c>
      <c r="Q80" s="318">
        <v>6.2347609252068836E-2</v>
      </c>
      <c r="R80" s="318">
        <v>6.2347609252068836E-2</v>
      </c>
      <c r="S80" s="318">
        <v>6.2347609252068836E-2</v>
      </c>
      <c r="T80" s="318">
        <v>6.2347609252068836E-2</v>
      </c>
      <c r="U80" s="318">
        <v>6.2347609252068836E-2</v>
      </c>
    </row>
    <row r="81" spans="1:21" ht="14.4" x14ac:dyDescent="0.3">
      <c r="A81" s="43">
        <v>19</v>
      </c>
      <c r="B81" s="43"/>
      <c r="C81"/>
      <c r="D81" s="318">
        <v>1.9780981608505417</v>
      </c>
      <c r="E81" s="318">
        <v>1.8787824033568112</v>
      </c>
      <c r="F81" s="318">
        <v>1.750114004171353</v>
      </c>
      <c r="G81" s="318">
        <v>1.5475003167286434</v>
      </c>
      <c r="H81" s="318">
        <v>1.381887035252076</v>
      </c>
      <c r="I81" s="318">
        <v>1.289583582765311</v>
      </c>
      <c r="J81" s="318">
        <v>1.2339790933154526</v>
      </c>
      <c r="K81" s="318">
        <v>1.2061768485905233</v>
      </c>
      <c r="L81" s="318">
        <v>1.2061768485905233</v>
      </c>
      <c r="M81" s="318">
        <v>1.2061768485905233</v>
      </c>
      <c r="N81" s="318">
        <v>1.2061768485905233</v>
      </c>
      <c r="O81" s="318">
        <v>1.2061768485905233</v>
      </c>
      <c r="P81" s="318">
        <v>1.2061768485905233</v>
      </c>
      <c r="Q81" s="318">
        <v>1.2061768485905233</v>
      </c>
      <c r="R81" s="318">
        <v>1.2061768485905233</v>
      </c>
      <c r="S81" s="318">
        <v>1.2061768485905233</v>
      </c>
      <c r="T81" s="318">
        <v>1.2061768485905233</v>
      </c>
      <c r="U81" s="318">
        <v>1.2061768485905233</v>
      </c>
    </row>
    <row r="82" spans="1:21" ht="14.4" x14ac:dyDescent="0.3">
      <c r="A82" s="43">
        <v>20</v>
      </c>
      <c r="B82" s="43"/>
      <c r="C82"/>
      <c r="D82" s="318">
        <v>5.3169184515780087E-2</v>
      </c>
      <c r="E82" s="318">
        <v>5.0499682091674859E-2</v>
      </c>
      <c r="F82" s="318">
        <v>4.7041211732094676E-2</v>
      </c>
      <c r="G82" s="318">
        <v>4.1595170303881664E-2</v>
      </c>
      <c r="H82" s="318">
        <v>3.7143660618788356E-2</v>
      </c>
      <c r="I82" s="318">
        <v>3.4662641529926687E-2</v>
      </c>
      <c r="J82" s="318">
        <v>3.3168051717359419E-2</v>
      </c>
      <c r="K82" s="318">
        <v>3.2420756811075785E-2</v>
      </c>
      <c r="L82" s="318">
        <v>3.2420756811075785E-2</v>
      </c>
      <c r="M82" s="318">
        <v>3.2420756811075785E-2</v>
      </c>
      <c r="N82" s="318">
        <v>3.2420756811075785E-2</v>
      </c>
      <c r="O82" s="318">
        <v>3.2420756811075785E-2</v>
      </c>
      <c r="P82" s="318">
        <v>3.2420756811075785E-2</v>
      </c>
      <c r="Q82" s="318">
        <v>3.2420756811075785E-2</v>
      </c>
      <c r="R82" s="318">
        <v>3.2420756811075785E-2</v>
      </c>
      <c r="S82" s="318">
        <v>3.2420756811075785E-2</v>
      </c>
      <c r="T82" s="318">
        <v>3.2420756811075785E-2</v>
      </c>
      <c r="U82" s="318">
        <v>3.2420756811075785E-2</v>
      </c>
    </row>
    <row r="83" spans="1:21" ht="14.4" x14ac:dyDescent="0.3">
      <c r="A83" s="43">
        <v>21</v>
      </c>
      <c r="B83" s="43"/>
      <c r="C83"/>
      <c r="D83" s="318">
        <v>0.10224843176111557</v>
      </c>
      <c r="E83" s="318">
        <v>9.711477325322089E-2</v>
      </c>
      <c r="F83" s="318">
        <v>9.0463868715566678E-2</v>
      </c>
      <c r="G83" s="318">
        <v>7.9990712122849361E-2</v>
      </c>
      <c r="H83" s="318">
        <v>7.1430116574593014E-2</v>
      </c>
      <c r="I83" s="318">
        <v>6.6658926019089806E-2</v>
      </c>
      <c r="J83" s="318">
        <v>6.3784714841075826E-2</v>
      </c>
      <c r="K83" s="318">
        <v>6.2347609252068836E-2</v>
      </c>
      <c r="L83" s="318">
        <v>6.2347609252068836E-2</v>
      </c>
      <c r="M83" s="318">
        <v>6.2347609252068836E-2</v>
      </c>
      <c r="N83" s="318">
        <v>6.2347609252068836E-2</v>
      </c>
      <c r="O83" s="318">
        <v>6.2347609252068836E-2</v>
      </c>
      <c r="P83" s="318">
        <v>6.2347609252068836E-2</v>
      </c>
      <c r="Q83" s="318">
        <v>6.2347609252068836E-2</v>
      </c>
      <c r="R83" s="318">
        <v>6.2347609252068836E-2</v>
      </c>
      <c r="S83" s="318">
        <v>6.2347609252068836E-2</v>
      </c>
      <c r="T83" s="318">
        <v>6.2347609252068836E-2</v>
      </c>
      <c r="U83" s="318">
        <v>6.2347609252068836E-2</v>
      </c>
    </row>
    <row r="84" spans="1:21" ht="14.4" x14ac:dyDescent="0.3">
      <c r="A84" s="43">
        <v>22</v>
      </c>
      <c r="B84" s="43"/>
      <c r="C84"/>
      <c r="D84" s="318">
        <v>7.7708808138447827E-2</v>
      </c>
      <c r="E84" s="318">
        <v>7.3807227672447878E-2</v>
      </c>
      <c r="F84" s="318">
        <v>6.8752540223830677E-2</v>
      </c>
      <c r="G84" s="318">
        <v>6.0792941213365509E-2</v>
      </c>
      <c r="H84" s="318">
        <v>5.4286888596690688E-2</v>
      </c>
      <c r="I84" s="318">
        <v>5.066078377450825E-2</v>
      </c>
      <c r="J84" s="318">
        <v>4.8476383279217626E-2</v>
      </c>
      <c r="K84" s="318">
        <v>4.7384183031572311E-2</v>
      </c>
      <c r="L84" s="318">
        <v>4.7384183031572311E-2</v>
      </c>
      <c r="M84" s="318">
        <v>4.7384183031572311E-2</v>
      </c>
      <c r="N84" s="318">
        <v>4.7384183031572311E-2</v>
      </c>
      <c r="O84" s="318">
        <v>4.7384183031572311E-2</v>
      </c>
      <c r="P84" s="318">
        <v>4.7384183031572311E-2</v>
      </c>
      <c r="Q84" s="318">
        <v>4.7384183031572311E-2</v>
      </c>
      <c r="R84" s="318">
        <v>4.7384183031572311E-2</v>
      </c>
      <c r="S84" s="318">
        <v>4.7384183031572311E-2</v>
      </c>
      <c r="T84" s="318">
        <v>4.7384183031572311E-2</v>
      </c>
      <c r="U84" s="318">
        <v>4.7384183031572311E-2</v>
      </c>
    </row>
    <row r="85" spans="1:21" ht="14.4" x14ac:dyDescent="0.3">
      <c r="A85" s="43">
        <v>23</v>
      </c>
      <c r="B85" s="43"/>
      <c r="C85"/>
      <c r="D85" s="318">
        <v>0.41369715490547343</v>
      </c>
      <c r="E85" s="318">
        <v>0.3929263725825316</v>
      </c>
      <c r="F85" s="318">
        <v>0.36601681282318271</v>
      </c>
      <c r="G85" s="318">
        <v>0.32364242124904841</v>
      </c>
      <c r="H85" s="318">
        <v>0.28900625166080324</v>
      </c>
      <c r="I85" s="318">
        <v>0.26970201467323723</v>
      </c>
      <c r="J85" s="318">
        <v>0.25807295624699267</v>
      </c>
      <c r="K85" s="318">
        <v>0.25225842703387041</v>
      </c>
      <c r="L85" s="318">
        <v>0.25225842703387041</v>
      </c>
      <c r="M85" s="318">
        <v>0.25225842703387041</v>
      </c>
      <c r="N85" s="318">
        <v>0.25225842703387041</v>
      </c>
      <c r="O85" s="318">
        <v>0.25225842703387041</v>
      </c>
      <c r="P85" s="318">
        <v>0.25225842703387041</v>
      </c>
      <c r="Q85" s="318">
        <v>0.25225842703387041</v>
      </c>
      <c r="R85" s="318">
        <v>0.25225842703387041</v>
      </c>
      <c r="S85" s="318">
        <v>0.25225842703387041</v>
      </c>
      <c r="T85" s="318">
        <v>0.25225842703387041</v>
      </c>
      <c r="U85" s="318">
        <v>0.25225842703387041</v>
      </c>
    </row>
    <row r="86" spans="1:21" ht="14.4" x14ac:dyDescent="0.3">
      <c r="A86" s="43">
        <v>24</v>
      </c>
      <c r="B86" s="43"/>
      <c r="C86"/>
      <c r="D86" s="318">
        <v>7.7708808138447827E-2</v>
      </c>
      <c r="E86" s="318">
        <v>7.3807227672447878E-2</v>
      </c>
      <c r="F86" s="318">
        <v>6.8752540223830677E-2</v>
      </c>
      <c r="G86" s="318">
        <v>6.0792941213365509E-2</v>
      </c>
      <c r="H86" s="318">
        <v>5.4286888596690688E-2</v>
      </c>
      <c r="I86" s="318">
        <v>5.066078377450825E-2</v>
      </c>
      <c r="J86" s="318">
        <v>4.8476383279217626E-2</v>
      </c>
      <c r="K86" s="318">
        <v>4.7384183031572311E-2</v>
      </c>
      <c r="L86" s="318">
        <v>4.7384183031572311E-2</v>
      </c>
      <c r="M86" s="318">
        <v>4.7384183031572311E-2</v>
      </c>
      <c r="N86" s="318">
        <v>4.7384183031572311E-2</v>
      </c>
      <c r="O86" s="318">
        <v>4.7384183031572311E-2</v>
      </c>
      <c r="P86" s="318">
        <v>4.7384183031572311E-2</v>
      </c>
      <c r="Q86" s="318">
        <v>4.7384183031572311E-2</v>
      </c>
      <c r="R86" s="318">
        <v>4.7384183031572311E-2</v>
      </c>
      <c r="S86" s="318">
        <v>4.7384183031572311E-2</v>
      </c>
      <c r="T86" s="318">
        <v>4.7384183031572311E-2</v>
      </c>
      <c r="U86" s="318">
        <v>4.7384183031572311E-2</v>
      </c>
    </row>
    <row r="87" spans="1:21" ht="14.4" x14ac:dyDescent="0.3">
      <c r="A87" s="43">
        <v>25</v>
      </c>
      <c r="B87" s="43"/>
      <c r="C87"/>
      <c r="D87" s="318">
        <v>0.45541451506400871</v>
      </c>
      <c r="E87" s="318">
        <v>0.43254920006984582</v>
      </c>
      <c r="F87" s="318">
        <v>0.40292607125913399</v>
      </c>
      <c r="G87" s="318">
        <v>0.356278631795171</v>
      </c>
      <c r="H87" s="318">
        <v>0.31814973922323719</v>
      </c>
      <c r="I87" s="318">
        <v>0.29689885648902592</v>
      </c>
      <c r="J87" s="318">
        <v>0.28409711990215164</v>
      </c>
      <c r="K87" s="318">
        <v>0.27769625160871453</v>
      </c>
      <c r="L87" s="318">
        <v>0.27769625160871453</v>
      </c>
      <c r="M87" s="318">
        <v>0.27769625160871453</v>
      </c>
      <c r="N87" s="318">
        <v>0.27769625160871453</v>
      </c>
      <c r="O87" s="318">
        <v>0.27769625160871453</v>
      </c>
      <c r="P87" s="318">
        <v>0.27769625160871453</v>
      </c>
      <c r="Q87" s="318">
        <v>0.27769625160871453</v>
      </c>
      <c r="R87" s="318">
        <v>0.27769625160871453</v>
      </c>
      <c r="S87" s="318">
        <v>0.27769625160871453</v>
      </c>
      <c r="T87" s="318">
        <v>0.27769625160871453</v>
      </c>
      <c r="U87" s="318">
        <v>0.27769625160871453</v>
      </c>
    </row>
    <row r="88" spans="1:21" ht="14.4" x14ac:dyDescent="0.3">
      <c r="A88" s="43">
        <v>26</v>
      </c>
      <c r="B88" s="43"/>
      <c r="C88"/>
      <c r="D88" s="318">
        <v>5.3169184515780087E-2</v>
      </c>
      <c r="E88" s="318">
        <v>5.0499682091674859E-2</v>
      </c>
      <c r="F88" s="318">
        <v>4.7041211732094676E-2</v>
      </c>
      <c r="G88" s="318">
        <v>4.1595170303881664E-2</v>
      </c>
      <c r="H88" s="318">
        <v>3.7143660618788356E-2</v>
      </c>
      <c r="I88" s="318">
        <v>3.4662641529926687E-2</v>
      </c>
      <c r="J88" s="318">
        <v>3.3168051717359419E-2</v>
      </c>
      <c r="K88" s="318">
        <v>3.2420756811075785E-2</v>
      </c>
      <c r="L88" s="318">
        <v>3.2420756811075785E-2</v>
      </c>
      <c r="M88" s="318">
        <v>3.2420756811075785E-2</v>
      </c>
      <c r="N88" s="318">
        <v>3.2420756811075785E-2</v>
      </c>
      <c r="O88" s="318">
        <v>3.2420756811075785E-2</v>
      </c>
      <c r="P88" s="318">
        <v>3.2420756811075785E-2</v>
      </c>
      <c r="Q88" s="318">
        <v>3.2420756811075785E-2</v>
      </c>
      <c r="R88" s="318">
        <v>3.2420756811075785E-2</v>
      </c>
      <c r="S88" s="318">
        <v>3.2420756811075785E-2</v>
      </c>
      <c r="T88" s="318">
        <v>3.2420756811075785E-2</v>
      </c>
      <c r="U88" s="318">
        <v>3.2420756811075785E-2</v>
      </c>
    </row>
    <row r="89" spans="1:21" ht="14.4" x14ac:dyDescent="0.3">
      <c r="A89" s="43">
        <v>27</v>
      </c>
      <c r="B89" s="43"/>
      <c r="C89"/>
      <c r="D89" s="318">
        <v>7.7708808138447827E-2</v>
      </c>
      <c r="E89" s="318">
        <v>7.3807227672447878E-2</v>
      </c>
      <c r="F89" s="318">
        <v>6.8752540223830677E-2</v>
      </c>
      <c r="G89" s="318">
        <v>6.0792941213365509E-2</v>
      </c>
      <c r="H89" s="318">
        <v>5.4286888596690688E-2</v>
      </c>
      <c r="I89" s="318">
        <v>5.066078377450825E-2</v>
      </c>
      <c r="J89" s="318">
        <v>4.8476383279217626E-2</v>
      </c>
      <c r="K89" s="318">
        <v>4.7384183031572311E-2</v>
      </c>
      <c r="L89" s="318">
        <v>4.7384183031572311E-2</v>
      </c>
      <c r="M89" s="318">
        <v>4.7384183031572311E-2</v>
      </c>
      <c r="N89" s="318">
        <v>4.7384183031572311E-2</v>
      </c>
      <c r="O89" s="318">
        <v>4.7384183031572311E-2</v>
      </c>
      <c r="P89" s="318">
        <v>4.7384183031572311E-2</v>
      </c>
      <c r="Q89" s="318">
        <v>4.7384183031572311E-2</v>
      </c>
      <c r="R89" s="318">
        <v>4.7384183031572311E-2</v>
      </c>
      <c r="S89" s="318">
        <v>4.7384183031572311E-2</v>
      </c>
      <c r="T89" s="318">
        <v>4.7384183031572311E-2</v>
      </c>
      <c r="U89" s="318">
        <v>4.7384183031572311E-2</v>
      </c>
    </row>
    <row r="90" spans="1:21" ht="14.4" x14ac:dyDescent="0.3">
      <c r="A90" s="43">
        <v>28</v>
      </c>
      <c r="B90" s="43"/>
      <c r="C90"/>
      <c r="D90" s="318">
        <v>2.4539623622667733E-2</v>
      </c>
      <c r="E90" s="318">
        <v>2.3307545580773012E-2</v>
      </c>
      <c r="F90" s="318">
        <v>2.1711328491736005E-2</v>
      </c>
      <c r="G90" s="318">
        <v>1.9197770909483845E-2</v>
      </c>
      <c r="H90" s="318">
        <v>1.7143227977902319E-2</v>
      </c>
      <c r="I90" s="318">
        <v>1.5998142244581549E-2</v>
      </c>
      <c r="J90" s="318">
        <v>1.5308331561858195E-2</v>
      </c>
      <c r="K90" s="318">
        <v>1.4963426220496517E-2</v>
      </c>
      <c r="L90" s="318">
        <v>1.4963426220496517E-2</v>
      </c>
      <c r="M90" s="318">
        <v>1.4963426220496517E-2</v>
      </c>
      <c r="N90" s="318">
        <v>1.4963426220496517E-2</v>
      </c>
      <c r="O90" s="318">
        <v>1.4963426220496517E-2</v>
      </c>
      <c r="P90" s="318">
        <v>1.4963426220496517E-2</v>
      </c>
      <c r="Q90" s="318">
        <v>1.4963426220496517E-2</v>
      </c>
      <c r="R90" s="318">
        <v>1.4963426220496517E-2</v>
      </c>
      <c r="S90" s="318">
        <v>1.4963426220496517E-2</v>
      </c>
      <c r="T90" s="318">
        <v>1.4963426220496517E-2</v>
      </c>
      <c r="U90" s="318">
        <v>1.4963426220496517E-2</v>
      </c>
    </row>
    <row r="91" spans="1:21" ht="14.4" x14ac:dyDescent="0.3">
      <c r="A91" s="43">
        <v>29</v>
      </c>
      <c r="B91" s="43"/>
      <c r="C91"/>
      <c r="D91" s="318">
        <v>0.60837816897863761</v>
      </c>
      <c r="E91" s="318">
        <v>0.57783290085666428</v>
      </c>
      <c r="F91" s="318">
        <v>0.53826001885762165</v>
      </c>
      <c r="G91" s="318">
        <v>0.47594473713095359</v>
      </c>
      <c r="H91" s="318">
        <v>0.42500919361882833</v>
      </c>
      <c r="I91" s="318">
        <v>0.39662060981358427</v>
      </c>
      <c r="J91" s="318">
        <v>0.37951905330440111</v>
      </c>
      <c r="K91" s="318">
        <v>0.3709682750498095</v>
      </c>
      <c r="L91" s="318">
        <v>0.3709682750498095</v>
      </c>
      <c r="M91" s="318">
        <v>0.3709682750498095</v>
      </c>
      <c r="N91" s="318">
        <v>0.3709682750498095</v>
      </c>
      <c r="O91" s="318">
        <v>0.3709682750498095</v>
      </c>
      <c r="P91" s="318">
        <v>0.3709682750498095</v>
      </c>
      <c r="Q91" s="318">
        <v>0.3709682750498095</v>
      </c>
      <c r="R91" s="318">
        <v>0.3709682750498095</v>
      </c>
      <c r="S91" s="318">
        <v>0.3709682750498095</v>
      </c>
      <c r="T91" s="318">
        <v>0.3709682750498095</v>
      </c>
      <c r="U91" s="318">
        <v>0.3709682750498095</v>
      </c>
    </row>
    <row r="92" spans="1:21" ht="14.4" x14ac:dyDescent="0.3">
      <c r="A92" s="43">
        <v>30</v>
      </c>
      <c r="B92" s="43"/>
      <c r="C92"/>
      <c r="D92" s="318">
        <v>5.3169184515780087E-2</v>
      </c>
      <c r="E92" s="318">
        <v>5.0499682091674859E-2</v>
      </c>
      <c r="F92" s="318">
        <v>4.7041211732094676E-2</v>
      </c>
      <c r="G92" s="318">
        <v>4.1595170303881664E-2</v>
      </c>
      <c r="H92" s="318">
        <v>3.7143660618788356E-2</v>
      </c>
      <c r="I92" s="318">
        <v>3.4662641529926687E-2</v>
      </c>
      <c r="J92" s="318">
        <v>3.3168051717359419E-2</v>
      </c>
      <c r="K92" s="318">
        <v>3.2420756811075785E-2</v>
      </c>
      <c r="L92" s="318">
        <v>3.2420756811075785E-2</v>
      </c>
      <c r="M92" s="318">
        <v>3.2420756811075785E-2</v>
      </c>
      <c r="N92" s="318">
        <v>3.2420756811075785E-2</v>
      </c>
      <c r="O92" s="318">
        <v>3.2420756811075785E-2</v>
      </c>
      <c r="P92" s="318">
        <v>3.2420756811075785E-2</v>
      </c>
      <c r="Q92" s="318">
        <v>3.2420756811075785E-2</v>
      </c>
      <c r="R92" s="318">
        <v>3.2420756811075785E-2</v>
      </c>
      <c r="S92" s="318">
        <v>3.2420756811075785E-2</v>
      </c>
      <c r="T92" s="318">
        <v>3.2420756811075785E-2</v>
      </c>
      <c r="U92" s="318">
        <v>3.2420756811075785E-2</v>
      </c>
    </row>
    <row r="93" spans="1:21" ht="14.4" x14ac:dyDescent="0.3">
      <c r="A93" s="43">
        <v>31</v>
      </c>
      <c r="B93" s="43"/>
      <c r="C93"/>
      <c r="D93" s="318">
        <v>0.50060832190242177</v>
      </c>
      <c r="E93" s="318">
        <v>0.47547392984776948</v>
      </c>
      <c r="F93" s="318">
        <v>0.44291110123141447</v>
      </c>
      <c r="G93" s="318">
        <v>0.39163452655347047</v>
      </c>
      <c r="H93" s="318">
        <v>0.34972185074920731</v>
      </c>
      <c r="I93" s="318">
        <v>0.32636210178946362</v>
      </c>
      <c r="J93" s="318">
        <v>0.31228996386190716</v>
      </c>
      <c r="K93" s="318">
        <v>0.30525389489812893</v>
      </c>
      <c r="L93" s="318">
        <v>0.30525389489812893</v>
      </c>
      <c r="M93" s="318">
        <v>0.30525389489812893</v>
      </c>
      <c r="N93" s="318">
        <v>0.30525389489812893</v>
      </c>
      <c r="O93" s="318">
        <v>0.30525389489812893</v>
      </c>
      <c r="P93" s="318">
        <v>0.30525389489812893</v>
      </c>
      <c r="Q93" s="318">
        <v>0.30525389489812893</v>
      </c>
      <c r="R93" s="318">
        <v>0.30525389489812893</v>
      </c>
      <c r="S93" s="318">
        <v>0.30525389489812893</v>
      </c>
      <c r="T93" s="318">
        <v>0.30525389489812893</v>
      </c>
      <c r="U93" s="318">
        <v>0.30525389489812893</v>
      </c>
    </row>
    <row r="94" spans="1:21" ht="14.4" x14ac:dyDescent="0.3">
      <c r="A94" s="43">
        <v>32</v>
      </c>
      <c r="B94" s="43"/>
      <c r="C94"/>
      <c r="D94" s="318">
        <v>2.7879296839817725E-3</v>
      </c>
      <c r="E94" s="318">
        <v>1.3236804215011326E-3</v>
      </c>
      <c r="F94" s="318">
        <v>1.1495032884476055E-3</v>
      </c>
      <c r="G94" s="318">
        <v>1.4343068802973387E-3</v>
      </c>
      <c r="H94" s="318">
        <v>1.5485447016192083E-3</v>
      </c>
      <c r="I94" s="318">
        <v>1.6056516111718276E-3</v>
      </c>
      <c r="J94" s="318">
        <v>1.6400533639143692E-3</v>
      </c>
      <c r="K94" s="318">
        <v>1.6572542402856401E-3</v>
      </c>
      <c r="L94" s="318">
        <v>1.6572542402856401E-3</v>
      </c>
      <c r="M94" s="318">
        <v>1.6572542402856401E-3</v>
      </c>
      <c r="N94" s="318">
        <v>1.6572542402856401E-3</v>
      </c>
      <c r="O94" s="318">
        <v>1.6572542402856401E-3</v>
      </c>
      <c r="P94" s="318">
        <v>1.6572542402856401E-3</v>
      </c>
      <c r="Q94" s="318">
        <v>1.6572542402856401E-3</v>
      </c>
      <c r="R94" s="318">
        <v>1.6572542402856401E-3</v>
      </c>
      <c r="S94" s="318">
        <v>1.6572542402856401E-3</v>
      </c>
      <c r="T94" s="318">
        <v>1.6572542402856401E-3</v>
      </c>
      <c r="U94" s="318">
        <v>1.6572542402856401E-3</v>
      </c>
    </row>
    <row r="95" spans="1:21" ht="14.4" x14ac:dyDescent="0.3">
      <c r="A95" s="43">
        <v>33</v>
      </c>
      <c r="B95" s="43"/>
      <c r="C95"/>
      <c r="D95" s="318">
        <v>1.1017029876954184E-2</v>
      </c>
      <c r="E95" s="318">
        <v>6.023170377557876E-3</v>
      </c>
      <c r="F95" s="318">
        <v>2.6793495165566114E-3</v>
      </c>
      <c r="G95" s="318">
        <v>3.7313743842048558E-3</v>
      </c>
      <c r="H95" s="318">
        <v>3.351790881134545E-3</v>
      </c>
      <c r="I95" s="318">
        <v>3.069305734365126E-3</v>
      </c>
      <c r="J95" s="318">
        <v>2.8991339592028256E-3</v>
      </c>
      <c r="K95" s="318">
        <v>2.8140480716216756E-3</v>
      </c>
      <c r="L95" s="318">
        <v>2.8140480716216756E-3</v>
      </c>
      <c r="M95" s="318">
        <v>2.8140480716216756E-3</v>
      </c>
      <c r="N95" s="318">
        <v>2.8140480716216756E-3</v>
      </c>
      <c r="O95" s="318">
        <v>2.8140480716216756E-3</v>
      </c>
      <c r="P95" s="318">
        <v>2.8140480716216756E-3</v>
      </c>
      <c r="Q95" s="318">
        <v>2.8140480716216756E-3</v>
      </c>
      <c r="R95" s="318">
        <v>2.8140480716216756E-3</v>
      </c>
      <c r="S95" s="318">
        <v>2.8140480716216756E-3</v>
      </c>
      <c r="T95" s="318">
        <v>2.8140480716216756E-3</v>
      </c>
      <c r="U95" s="318">
        <v>2.8140480716216756E-3</v>
      </c>
    </row>
    <row r="96" spans="1:21" ht="14.4" x14ac:dyDescent="0.3">
      <c r="A96" s="43">
        <v>34</v>
      </c>
      <c r="B96" s="43"/>
      <c r="C96"/>
      <c r="D96" s="318">
        <v>3.4475355795459397E-3</v>
      </c>
      <c r="E96" s="318">
        <v>7.6608878998997096E-4</v>
      </c>
      <c r="F96" s="318">
        <v>1.563659012465796E-3</v>
      </c>
      <c r="G96" s="318">
        <v>1.6172214696137978E-3</v>
      </c>
      <c r="H96" s="318">
        <v>1.5212213669734628E-3</v>
      </c>
      <c r="I96" s="318">
        <v>1.4634804587353948E-3</v>
      </c>
      <c r="J96" s="318">
        <v>1.4286967790739082E-3</v>
      </c>
      <c r="K96" s="318">
        <v>1.4113049392431647E-3</v>
      </c>
      <c r="L96" s="318">
        <v>1.4113049392431647E-3</v>
      </c>
      <c r="M96" s="318">
        <v>1.4113049392431647E-3</v>
      </c>
      <c r="N96" s="318">
        <v>1.4113049392431647E-3</v>
      </c>
      <c r="O96" s="318">
        <v>1.4113049392431647E-3</v>
      </c>
      <c r="P96" s="318">
        <v>1.4113049392431647E-3</v>
      </c>
      <c r="Q96" s="318">
        <v>1.4113049392431647E-3</v>
      </c>
      <c r="R96" s="318">
        <v>1.4113049392431647E-3</v>
      </c>
      <c r="S96" s="318">
        <v>1.4113049392431647E-3</v>
      </c>
      <c r="T96" s="318">
        <v>1.4113049392431647E-3</v>
      </c>
      <c r="U96" s="318">
        <v>1.4113049392431647E-3</v>
      </c>
    </row>
    <row r="97" spans="1:21" ht="14.4" x14ac:dyDescent="0.3">
      <c r="A97" s="43">
        <v>35</v>
      </c>
      <c r="B97" s="43"/>
      <c r="C97"/>
      <c r="D97" s="318">
        <v>0.17556413796734441</v>
      </c>
      <c r="E97" s="318">
        <v>9.9478252044341894E-2</v>
      </c>
      <c r="F97" s="318">
        <v>7.0211112285548841E-2</v>
      </c>
      <c r="G97" s="318">
        <v>6.9211616370545584E-2</v>
      </c>
      <c r="H97" s="318">
        <v>6.8835943686627432E-2</v>
      </c>
      <c r="I97" s="318">
        <v>6.8575449798484664E-2</v>
      </c>
      <c r="J97" s="318">
        <v>6.8418525769482999E-2</v>
      </c>
      <c r="K97" s="318">
        <v>6.8340063754982167E-2</v>
      </c>
      <c r="L97" s="318">
        <v>6.8340063754982167E-2</v>
      </c>
      <c r="M97" s="318">
        <v>6.8340063754982167E-2</v>
      </c>
      <c r="N97" s="318">
        <v>6.8340063754982167E-2</v>
      </c>
      <c r="O97" s="318">
        <v>6.8340063754982167E-2</v>
      </c>
      <c r="P97" s="318">
        <v>6.8340063754982167E-2</v>
      </c>
      <c r="Q97" s="318">
        <v>6.8340063754982167E-2</v>
      </c>
      <c r="R97" s="318">
        <v>6.8340063754982167E-2</v>
      </c>
      <c r="S97" s="318">
        <v>6.8340063754982167E-2</v>
      </c>
      <c r="T97" s="318">
        <v>6.8340063754982167E-2</v>
      </c>
      <c r="U97" s="318">
        <v>6.8340063754982167E-2</v>
      </c>
    </row>
    <row r="98" spans="1:21" ht="14.4" x14ac:dyDescent="0.3">
      <c r="A98" s="43">
        <v>36</v>
      </c>
      <c r="B98" s="43"/>
      <c r="C98"/>
      <c r="D98" s="318">
        <v>2.9493042625604107E-3</v>
      </c>
      <c r="E98" s="318">
        <v>1.1944592943257117E-3</v>
      </c>
      <c r="F98" s="318">
        <v>5.4434820951666069E-4</v>
      </c>
      <c r="G98" s="318">
        <v>9.7566222290663279E-4</v>
      </c>
      <c r="H98" s="318">
        <v>1.1679116081829255E-3</v>
      </c>
      <c r="I98" s="318">
        <v>1.2648853245662759E-3</v>
      </c>
      <c r="J98" s="318">
        <v>1.3233032260020292E-3</v>
      </c>
      <c r="K98" s="318">
        <v>1.3525121767199058E-3</v>
      </c>
      <c r="L98" s="318">
        <v>1.3525121767199058E-3</v>
      </c>
      <c r="M98" s="318">
        <v>1.3525121767199058E-3</v>
      </c>
      <c r="N98" s="318">
        <v>1.3525121767199058E-3</v>
      </c>
      <c r="O98" s="318">
        <v>1.3525121767199058E-3</v>
      </c>
      <c r="P98" s="318">
        <v>1.3525121767199058E-3</v>
      </c>
      <c r="Q98" s="318">
        <v>1.3525121767199058E-3</v>
      </c>
      <c r="R98" s="318">
        <v>1.3525121767199058E-3</v>
      </c>
      <c r="S98" s="318">
        <v>1.3525121767199058E-3</v>
      </c>
      <c r="T98" s="318">
        <v>1.3525121767199058E-3</v>
      </c>
      <c r="U98" s="318">
        <v>1.3525121767199058E-3</v>
      </c>
    </row>
    <row r="99" spans="1:21" ht="14.4" x14ac:dyDescent="0.3">
      <c r="A99" s="43">
        <v>37</v>
      </c>
      <c r="B99" s="43"/>
      <c r="C99"/>
      <c r="D99" s="318">
        <v>0.14168514254491729</v>
      </c>
      <c r="E99" s="318">
        <v>8.3606549747759426E-2</v>
      </c>
      <c r="F99" s="318">
        <v>5.7461860575305536E-2</v>
      </c>
      <c r="G99" s="318">
        <v>5.4968536067313563E-2</v>
      </c>
      <c r="H99" s="318">
        <v>5.5176475035371181E-2</v>
      </c>
      <c r="I99" s="318">
        <v>5.5338051743751455E-2</v>
      </c>
      <c r="J99" s="318">
        <v>5.5435387110245593E-2</v>
      </c>
      <c r="K99" s="318">
        <v>5.5484054793492665E-2</v>
      </c>
      <c r="L99" s="318">
        <v>5.5484054793492665E-2</v>
      </c>
      <c r="M99" s="318">
        <v>5.5484054793492665E-2</v>
      </c>
      <c r="N99" s="318">
        <v>5.5484054793492665E-2</v>
      </c>
      <c r="O99" s="318">
        <v>5.5484054793492665E-2</v>
      </c>
      <c r="P99" s="318">
        <v>5.5484054793492665E-2</v>
      </c>
      <c r="Q99" s="318">
        <v>5.5484054793492665E-2</v>
      </c>
      <c r="R99" s="318">
        <v>5.5484054793492665E-2</v>
      </c>
      <c r="S99" s="318">
        <v>5.5484054793492665E-2</v>
      </c>
      <c r="T99" s="318">
        <v>5.5484054793492665E-2</v>
      </c>
      <c r="U99" s="318">
        <v>5.5484054793492665E-2</v>
      </c>
    </row>
    <row r="100" spans="1:21" ht="14.4" x14ac:dyDescent="0.3">
      <c r="A100" s="43">
        <v>38</v>
      </c>
      <c r="B100" s="43"/>
      <c r="C100"/>
      <c r="D100" s="318">
        <v>2.3675041858742143E-3</v>
      </c>
      <c r="E100" s="318">
        <v>7.1401318197343187E-4</v>
      </c>
      <c r="F100" s="318">
        <v>3.9183973237335874E-3</v>
      </c>
      <c r="G100" s="318">
        <v>1.273976338557804E-3</v>
      </c>
      <c r="H100" s="318">
        <v>7.9265874880539064E-4</v>
      </c>
      <c r="I100" s="318">
        <v>6.1995994713912137E-4</v>
      </c>
      <c r="J100" s="318">
        <v>5.1592452444859768E-4</v>
      </c>
      <c r="K100" s="318">
        <v>4.639068131033359E-4</v>
      </c>
      <c r="L100" s="318">
        <v>4.639068131033359E-4</v>
      </c>
      <c r="M100" s="318">
        <v>4.639068131033359E-4</v>
      </c>
      <c r="N100" s="318">
        <v>4.639068131033359E-4</v>
      </c>
      <c r="O100" s="318">
        <v>4.639068131033359E-4</v>
      </c>
      <c r="P100" s="318">
        <v>4.639068131033359E-4</v>
      </c>
      <c r="Q100" s="318">
        <v>4.639068131033359E-4</v>
      </c>
      <c r="R100" s="318">
        <v>4.639068131033359E-4</v>
      </c>
      <c r="S100" s="318">
        <v>4.639068131033359E-4</v>
      </c>
      <c r="T100" s="318">
        <v>4.639068131033359E-4</v>
      </c>
      <c r="U100" s="318">
        <v>4.639068131033359E-4</v>
      </c>
    </row>
    <row r="101" spans="1:21" ht="14.4" x14ac:dyDescent="0.3">
      <c r="A101" s="43">
        <v>39</v>
      </c>
      <c r="B101" s="43"/>
      <c r="C101"/>
      <c r="D101" s="318">
        <v>8.5598758664347588E-3</v>
      </c>
      <c r="E101" s="318">
        <v>4.4384098694419255E-3</v>
      </c>
      <c r="F101" s="318">
        <v>3.4292036595023824E-3</v>
      </c>
      <c r="G101" s="318">
        <v>4.0998171781733393E-3</v>
      </c>
      <c r="H101" s="318">
        <v>3.4562004019371307E-3</v>
      </c>
      <c r="I101" s="318">
        <v>3.0361395825845229E-3</v>
      </c>
      <c r="J101" s="318">
        <v>2.7830908962275299E-3</v>
      </c>
      <c r="K101" s="318">
        <v>2.6565665530490336E-3</v>
      </c>
      <c r="L101" s="318">
        <v>2.6565665530490336E-3</v>
      </c>
      <c r="M101" s="318">
        <v>2.6565665530490336E-3</v>
      </c>
      <c r="N101" s="318">
        <v>2.6565665530490336E-3</v>
      </c>
      <c r="O101" s="318">
        <v>2.6565665530490336E-3</v>
      </c>
      <c r="P101" s="318">
        <v>2.6565665530490336E-3</v>
      </c>
      <c r="Q101" s="318">
        <v>2.6565665530490336E-3</v>
      </c>
      <c r="R101" s="318">
        <v>2.6565665530490336E-3</v>
      </c>
      <c r="S101" s="318">
        <v>2.6565665530490336E-3</v>
      </c>
      <c r="T101" s="318">
        <v>2.6565665530490336E-3</v>
      </c>
      <c r="U101" s="318">
        <v>2.6565665530490336E-3</v>
      </c>
    </row>
    <row r="102" spans="1:21" ht="14.4" x14ac:dyDescent="0.3">
      <c r="A102" s="43">
        <v>40</v>
      </c>
      <c r="B102" s="43"/>
      <c r="C102"/>
      <c r="D102" s="318">
        <v>1.7729424376846802E-3</v>
      </c>
      <c r="E102" s="318">
        <v>5.8688968629825992E-4</v>
      </c>
      <c r="F102" s="318">
        <v>3.4023075265933412E-3</v>
      </c>
      <c r="G102" s="318">
        <v>9.0498200709130685E-4</v>
      </c>
      <c r="H102" s="318">
        <v>1.0853688428055827E-3</v>
      </c>
      <c r="I102" s="318">
        <v>1.3062888897409611E-3</v>
      </c>
      <c r="J102" s="318">
        <v>1.439373255364683E-3</v>
      </c>
      <c r="K102" s="318">
        <v>1.5059154381765439E-3</v>
      </c>
      <c r="L102" s="318">
        <v>1.5059154381765439E-3</v>
      </c>
      <c r="M102" s="318">
        <v>1.5059154381765439E-3</v>
      </c>
      <c r="N102" s="318">
        <v>1.5059154381765439E-3</v>
      </c>
      <c r="O102" s="318">
        <v>1.5059154381765439E-3</v>
      </c>
      <c r="P102" s="318">
        <v>1.5059154381765439E-3</v>
      </c>
      <c r="Q102" s="318">
        <v>1.5059154381765439E-3</v>
      </c>
      <c r="R102" s="318">
        <v>1.5059154381765439E-3</v>
      </c>
      <c r="S102" s="318">
        <v>1.5059154381765439E-3</v>
      </c>
      <c r="T102" s="318">
        <v>1.5059154381765439E-3</v>
      </c>
      <c r="U102" s="318">
        <v>1.5059154381765439E-3</v>
      </c>
    </row>
    <row r="103" spans="1:21" ht="14.4" x14ac:dyDescent="0.3">
      <c r="A103" s="43">
        <v>41</v>
      </c>
      <c r="B103" s="43"/>
      <c r="C103"/>
      <c r="D103" s="318">
        <v>0.1217486708950388</v>
      </c>
      <c r="E103" s="318">
        <v>6.4725367384323954E-2</v>
      </c>
      <c r="F103" s="318">
        <v>5.9073055020003672E-2</v>
      </c>
      <c r="G103" s="318">
        <v>4.7507008496027681E-2</v>
      </c>
      <c r="H103" s="318">
        <v>4.5627886556489576E-2</v>
      </c>
      <c r="I103" s="318">
        <v>4.4959403408291312E-2</v>
      </c>
      <c r="J103" s="318">
        <v>4.4556702716605619E-2</v>
      </c>
      <c r="K103" s="318">
        <v>4.4355352370762768E-2</v>
      </c>
      <c r="L103" s="318">
        <v>4.4355352370762768E-2</v>
      </c>
      <c r="M103" s="318">
        <v>4.4355352370762768E-2</v>
      </c>
      <c r="N103" s="318">
        <v>4.4355352370762768E-2</v>
      </c>
      <c r="O103" s="318">
        <v>4.4355352370762768E-2</v>
      </c>
      <c r="P103" s="318">
        <v>4.4355352370762768E-2</v>
      </c>
      <c r="Q103" s="318">
        <v>4.4355352370762768E-2</v>
      </c>
      <c r="R103" s="318">
        <v>4.4355352370762768E-2</v>
      </c>
      <c r="S103" s="318">
        <v>4.4355352370762768E-2</v>
      </c>
      <c r="T103" s="318">
        <v>4.4355352370762768E-2</v>
      </c>
      <c r="U103" s="318">
        <v>4.4355352370762768E-2</v>
      </c>
    </row>
    <row r="104" spans="1:21" ht="14.4" x14ac:dyDescent="0.3">
      <c r="A104" s="43">
        <v>42</v>
      </c>
      <c r="B104" s="43"/>
      <c r="C104"/>
      <c r="D104" s="318">
        <v>1.9388564027712171E-3</v>
      </c>
      <c r="E104" s="318">
        <v>9.8296709156706248E-4</v>
      </c>
      <c r="F104" s="318">
        <v>1.1070855165432449E-3</v>
      </c>
      <c r="G104" s="318">
        <v>9.7348889544311918E-4</v>
      </c>
      <c r="H104" s="318">
        <v>6.5305881737084373E-4</v>
      </c>
      <c r="I104" s="318">
        <v>4.6494059342570436E-4</v>
      </c>
      <c r="J104" s="318">
        <v>3.5161636213345177E-4</v>
      </c>
      <c r="K104" s="318">
        <v>2.9495424648732545E-4</v>
      </c>
      <c r="L104" s="318">
        <v>2.9495424648732545E-4</v>
      </c>
      <c r="M104" s="318">
        <v>2.9495424648732545E-4</v>
      </c>
      <c r="N104" s="318">
        <v>2.9495424648732545E-4</v>
      </c>
      <c r="O104" s="318">
        <v>2.9495424648732545E-4</v>
      </c>
      <c r="P104" s="318">
        <v>2.9495424648732545E-4</v>
      </c>
      <c r="Q104" s="318">
        <v>2.9495424648732545E-4</v>
      </c>
      <c r="R104" s="318">
        <v>2.9495424648732545E-4</v>
      </c>
      <c r="S104" s="318">
        <v>2.9495424648732545E-4</v>
      </c>
      <c r="T104" s="318">
        <v>2.9495424648732545E-4</v>
      </c>
      <c r="U104" s="318">
        <v>2.9495424648732545E-4</v>
      </c>
    </row>
    <row r="105" spans="1:21" ht="14.4" x14ac:dyDescent="0.3">
      <c r="A105" s="43">
        <v>43</v>
      </c>
      <c r="B105" s="43"/>
      <c r="C105"/>
      <c r="D105" s="318">
        <v>9.9372431941454176E-2</v>
      </c>
      <c r="E105" s="318">
        <v>5.6136729312927597E-2</v>
      </c>
      <c r="F105" s="318">
        <v>4.6219223180572068E-2</v>
      </c>
      <c r="G105" s="318">
        <v>4.0627101575912726E-2</v>
      </c>
      <c r="H105" s="318">
        <v>3.9040355309902429E-2</v>
      </c>
      <c r="I105" s="318">
        <v>3.8287644087884209E-2</v>
      </c>
      <c r="J105" s="318">
        <v>3.7834203592692517E-2</v>
      </c>
      <c r="K105" s="318">
        <v>3.7607483345096671E-2</v>
      </c>
      <c r="L105" s="318">
        <v>3.7607483345096671E-2</v>
      </c>
      <c r="M105" s="318">
        <v>3.7607483345096671E-2</v>
      </c>
      <c r="N105" s="318">
        <v>3.7607483345096671E-2</v>
      </c>
      <c r="O105" s="318">
        <v>3.7607483345096671E-2</v>
      </c>
      <c r="P105" s="318">
        <v>3.7607483345096671E-2</v>
      </c>
      <c r="Q105" s="318">
        <v>3.7607483345096671E-2</v>
      </c>
      <c r="R105" s="318">
        <v>3.7607483345096671E-2</v>
      </c>
      <c r="S105" s="318">
        <v>3.7607483345096671E-2</v>
      </c>
      <c r="T105" s="318">
        <v>3.7607483345096671E-2</v>
      </c>
      <c r="U105" s="318">
        <v>3.7607483345096671E-2</v>
      </c>
    </row>
    <row r="106" spans="1:21" ht="14.4" x14ac:dyDescent="0.3">
      <c r="A106" s="43">
        <v>44</v>
      </c>
      <c r="B106" s="43"/>
      <c r="C106"/>
      <c r="D106" s="318">
        <v>1.5372124633957999E-3</v>
      </c>
      <c r="E106" s="318">
        <v>5.7016628234241636E-4</v>
      </c>
      <c r="F106" s="318">
        <v>4.0374978522472972E-3</v>
      </c>
      <c r="G106" s="318">
        <v>1.0281203469347808E-3</v>
      </c>
      <c r="H106" s="318">
        <v>9.9035468207618496E-4</v>
      </c>
      <c r="I106" s="318">
        <v>1.102153768866966E-3</v>
      </c>
      <c r="J106" s="318">
        <v>1.169502616331292E-3</v>
      </c>
      <c r="K106" s="318">
        <v>1.2031770400634551E-3</v>
      </c>
      <c r="L106" s="318">
        <v>1.2031770400634551E-3</v>
      </c>
      <c r="M106" s="318">
        <v>1.2031770400634551E-3</v>
      </c>
      <c r="N106" s="318">
        <v>1.2031770400634551E-3</v>
      </c>
      <c r="O106" s="318">
        <v>1.2031770400634551E-3</v>
      </c>
      <c r="P106" s="318">
        <v>1.2031770400634551E-3</v>
      </c>
      <c r="Q106" s="318">
        <v>1.2031770400634551E-3</v>
      </c>
      <c r="R106" s="318">
        <v>1.2031770400634551E-3</v>
      </c>
      <c r="S106" s="318">
        <v>1.2031770400634551E-3</v>
      </c>
      <c r="T106" s="318">
        <v>1.2031770400634551E-3</v>
      </c>
      <c r="U106" s="318">
        <v>1.2031770400634551E-3</v>
      </c>
    </row>
    <row r="107" spans="1:21" ht="14.4" x14ac:dyDescent="0.3">
      <c r="A107" s="43">
        <v>45</v>
      </c>
      <c r="B107" s="43"/>
      <c r="C107"/>
      <c r="D107" s="318">
        <v>7.4262283226886085E-3</v>
      </c>
      <c r="E107" s="318">
        <v>3.8783461856775983E-3</v>
      </c>
      <c r="F107" s="318">
        <v>2.6961147658149599E-3</v>
      </c>
      <c r="G107" s="318">
        <v>1.9358271880960576E-3</v>
      </c>
      <c r="H107" s="318">
        <v>2.2088233543349003E-3</v>
      </c>
      <c r="I107" s="318">
        <v>2.4027529013821501E-3</v>
      </c>
      <c r="J107" s="318">
        <v>2.5195779297238667E-3</v>
      </c>
      <c r="K107" s="318">
        <v>2.5779904438947253E-3</v>
      </c>
      <c r="L107" s="318">
        <v>2.5779904438947253E-3</v>
      </c>
      <c r="M107" s="318">
        <v>2.5779904438947253E-3</v>
      </c>
      <c r="N107" s="318">
        <v>2.5779904438947253E-3</v>
      </c>
      <c r="O107" s="318">
        <v>2.5779904438947253E-3</v>
      </c>
      <c r="P107" s="318">
        <v>2.5779904438947253E-3</v>
      </c>
      <c r="Q107" s="318">
        <v>2.5779904438947253E-3</v>
      </c>
      <c r="R107" s="318">
        <v>2.5779904438947253E-3</v>
      </c>
      <c r="S107" s="318">
        <v>2.5779904438947253E-3</v>
      </c>
      <c r="T107" s="318">
        <v>2.5779904438947253E-3</v>
      </c>
      <c r="U107" s="318">
        <v>2.5779904438947253E-3</v>
      </c>
    </row>
    <row r="108" spans="1:21" ht="14.4" x14ac:dyDescent="0.3">
      <c r="A108" s="43">
        <v>46</v>
      </c>
      <c r="B108" s="43"/>
      <c r="C108"/>
      <c r="D108" s="318">
        <v>5.5167984011882706E-4</v>
      </c>
      <c r="E108" s="318">
        <v>7.832230684136338E-4</v>
      </c>
      <c r="F108" s="318">
        <v>3.2790704631504601E-3</v>
      </c>
      <c r="G108" s="318">
        <v>2.2078168774474372E-4</v>
      </c>
      <c r="H108" s="318">
        <v>1.9160626522379858E-4</v>
      </c>
      <c r="I108" s="318">
        <v>3.0768889306011449E-4</v>
      </c>
      <c r="J108" s="318">
        <v>3.7761818693741317E-4</v>
      </c>
      <c r="K108" s="318">
        <v>4.1258283387606253E-4</v>
      </c>
      <c r="L108" s="318">
        <v>4.1258283387606253E-4</v>
      </c>
      <c r="M108" s="318">
        <v>4.1258283387606253E-4</v>
      </c>
      <c r="N108" s="318">
        <v>4.1258283387606253E-4</v>
      </c>
      <c r="O108" s="318">
        <v>4.1258283387606253E-4</v>
      </c>
      <c r="P108" s="318">
        <v>4.1258283387606253E-4</v>
      </c>
      <c r="Q108" s="318">
        <v>4.1258283387606253E-4</v>
      </c>
      <c r="R108" s="318">
        <v>4.1258283387606253E-4</v>
      </c>
      <c r="S108" s="318">
        <v>4.1258283387606253E-4</v>
      </c>
      <c r="T108" s="318">
        <v>4.1258283387606253E-4</v>
      </c>
      <c r="U108" s="318">
        <v>4.1258283387606253E-4</v>
      </c>
    </row>
    <row r="109" spans="1:21" ht="14.4" x14ac:dyDescent="0.3">
      <c r="A109" s="43">
        <v>47</v>
      </c>
      <c r="B109" s="43"/>
      <c r="C109"/>
      <c r="D109" s="318">
        <v>8.1578281541354589E-2</v>
      </c>
      <c r="E109" s="318">
        <v>5.187867350024037E-2</v>
      </c>
      <c r="F109" s="318">
        <v>4.8587070662300058E-2</v>
      </c>
      <c r="G109" s="318">
        <v>3.3063751930563962E-2</v>
      </c>
      <c r="H109" s="318">
        <v>3.2415281680733508E-2</v>
      </c>
      <c r="I109" s="318">
        <v>3.2659471392822749E-2</v>
      </c>
      <c r="J109" s="318">
        <v>3.2806573629021091E-2</v>
      </c>
      <c r="K109" s="318">
        <v>3.2880124747120258E-2</v>
      </c>
      <c r="L109" s="318">
        <v>3.2880124747120258E-2</v>
      </c>
      <c r="M109" s="318">
        <v>3.2880124747120258E-2</v>
      </c>
      <c r="N109" s="318">
        <v>3.2880124747120258E-2</v>
      </c>
      <c r="O109" s="318">
        <v>3.2880124747120258E-2</v>
      </c>
      <c r="P109" s="318">
        <v>3.2880124747120258E-2</v>
      </c>
      <c r="Q109" s="318">
        <v>3.2880124747120258E-2</v>
      </c>
      <c r="R109" s="318">
        <v>3.2880124747120258E-2</v>
      </c>
      <c r="S109" s="318">
        <v>3.2880124747120258E-2</v>
      </c>
      <c r="T109" s="318">
        <v>3.2880124747120258E-2</v>
      </c>
      <c r="U109" s="318">
        <v>3.2880124747120258E-2</v>
      </c>
    </row>
    <row r="110" spans="1:21" ht="14.4" x14ac:dyDescent="0.3">
      <c r="A110" s="43">
        <v>48</v>
      </c>
      <c r="B110" s="43"/>
      <c r="C110"/>
      <c r="D110" s="318">
        <v>2.071477454952115E-3</v>
      </c>
      <c r="E110" s="318">
        <v>1.3487218358676325E-3</v>
      </c>
      <c r="F110" s="318">
        <v>2.6277228302372E-4</v>
      </c>
      <c r="G110" s="318">
        <v>7.7531921887573601E-4</v>
      </c>
      <c r="H110" s="318">
        <v>8.7371083060362655E-4</v>
      </c>
      <c r="I110" s="318">
        <v>9.0907334935833419E-4</v>
      </c>
      <c r="J110" s="318">
        <v>9.3037607149972434E-4</v>
      </c>
      <c r="K110" s="318">
        <v>9.4102743257041936E-4</v>
      </c>
      <c r="L110" s="318">
        <v>9.4102743257041936E-4</v>
      </c>
      <c r="M110" s="318">
        <v>9.4102743257041936E-4</v>
      </c>
      <c r="N110" s="318">
        <v>9.4102743257041936E-4</v>
      </c>
      <c r="O110" s="318">
        <v>9.4102743257041936E-4</v>
      </c>
      <c r="P110" s="318">
        <v>9.4102743257041936E-4</v>
      </c>
      <c r="Q110" s="318">
        <v>9.4102743257041936E-4</v>
      </c>
      <c r="R110" s="318">
        <v>9.4102743257041936E-4</v>
      </c>
      <c r="S110" s="318">
        <v>9.4102743257041936E-4</v>
      </c>
      <c r="T110" s="318">
        <v>9.4102743257041936E-4</v>
      </c>
      <c r="U110" s="318">
        <v>9.4102743257041936E-4</v>
      </c>
    </row>
    <row r="111" spans="1:21" ht="14.4" x14ac:dyDescent="0.3">
      <c r="A111" s="43">
        <v>49</v>
      </c>
      <c r="B111" s="43"/>
      <c r="C111"/>
      <c r="D111" s="318">
        <v>7.0105746864087604E-2</v>
      </c>
      <c r="E111" s="318">
        <v>4.3518727035231623E-2</v>
      </c>
      <c r="F111" s="318">
        <v>3.8812225827506992E-2</v>
      </c>
      <c r="G111" s="318">
        <v>2.9640609213864251E-2</v>
      </c>
      <c r="H111" s="318">
        <v>2.8289963697952746E-2</v>
      </c>
      <c r="I111" s="318">
        <v>2.7841312507430122E-2</v>
      </c>
      <c r="J111" s="318">
        <v>2.757104070591047E-2</v>
      </c>
      <c r="K111" s="318">
        <v>2.7435904805150645E-2</v>
      </c>
      <c r="L111" s="318">
        <v>2.7435904805150645E-2</v>
      </c>
      <c r="M111" s="318">
        <v>2.7435904805150645E-2</v>
      </c>
      <c r="N111" s="318">
        <v>2.7435904805150645E-2</v>
      </c>
      <c r="O111" s="318">
        <v>2.7435904805150645E-2</v>
      </c>
      <c r="P111" s="318">
        <v>2.7435904805150645E-2</v>
      </c>
      <c r="Q111" s="318">
        <v>2.7435904805150645E-2</v>
      </c>
      <c r="R111" s="318">
        <v>2.7435904805150645E-2</v>
      </c>
      <c r="S111" s="318">
        <v>2.7435904805150645E-2</v>
      </c>
      <c r="T111" s="318">
        <v>2.7435904805150645E-2</v>
      </c>
      <c r="U111" s="318">
        <v>2.7435904805150645E-2</v>
      </c>
    </row>
    <row r="112" spans="1:21" ht="14.4" x14ac:dyDescent="0.3">
      <c r="A112" s="43">
        <v>50</v>
      </c>
      <c r="B112" s="43"/>
      <c r="C112"/>
      <c r="D112" s="318">
        <v>9.2245105702327447E-4</v>
      </c>
      <c r="E112" s="318">
        <v>6.2293702759612228E-4</v>
      </c>
      <c r="F112" s="318">
        <v>2.8239607815372606E-3</v>
      </c>
      <c r="G112" s="318">
        <v>4.6967635903067881E-4</v>
      </c>
      <c r="H112" s="318">
        <v>7.1069657669054539E-4</v>
      </c>
      <c r="I112" s="318">
        <v>9.6054907228233929E-4</v>
      </c>
      <c r="J112" s="318">
        <v>1.1110626238436609E-3</v>
      </c>
      <c r="K112" s="318">
        <v>1.1863193996243216E-3</v>
      </c>
      <c r="L112" s="318">
        <v>1.1863193996243216E-3</v>
      </c>
      <c r="M112" s="318">
        <v>1.1863193996243216E-3</v>
      </c>
      <c r="N112" s="318">
        <v>1.1863193996243216E-3</v>
      </c>
      <c r="O112" s="318">
        <v>1.1863193996243216E-3</v>
      </c>
      <c r="P112" s="318">
        <v>1.1863193996243216E-3</v>
      </c>
      <c r="Q112" s="318">
        <v>1.1863193996243216E-3</v>
      </c>
      <c r="R112" s="318">
        <v>1.1863193996243216E-3</v>
      </c>
      <c r="S112" s="318">
        <v>1.1863193996243216E-3</v>
      </c>
      <c r="T112" s="318">
        <v>1.1863193996243216E-3</v>
      </c>
      <c r="U112" s="318">
        <v>1.1863193996243216E-3</v>
      </c>
    </row>
    <row r="113" spans="2:21" x14ac:dyDescent="0.25">
      <c r="D113" s="51"/>
      <c r="E113" s="32"/>
      <c r="F113" s="32"/>
      <c r="G113" s="32"/>
      <c r="H113" s="32"/>
      <c r="I113" s="32"/>
      <c r="J113" s="32"/>
      <c r="K113" s="32"/>
    </row>
    <row r="114" spans="2:21" x14ac:dyDescent="0.25">
      <c r="B114" s="26" t="s">
        <v>5</v>
      </c>
      <c r="D114" s="32">
        <f t="shared" ref="D114:U114" si="7">SQRT(SUMSQ(D64:D112))</f>
        <v>6.3999999999999959</v>
      </c>
      <c r="E114" s="32">
        <f t="shared" si="7"/>
        <v>6.0745558124142649</v>
      </c>
      <c r="F114" s="32">
        <f t="shared" si="7"/>
        <v>5.6578990644206169</v>
      </c>
      <c r="G114" s="32">
        <f t="shared" si="7"/>
        <v>5.0028549720024857</v>
      </c>
      <c r="H114" s="32">
        <f t="shared" si="7"/>
        <v>4.4677102917611808</v>
      </c>
      <c r="I114" s="32">
        <f t="shared" si="7"/>
        <v>4.1694763970225361</v>
      </c>
      <c r="J114" s="32">
        <f t="shared" si="7"/>
        <v>3.9898240409055212</v>
      </c>
      <c r="K114" s="32">
        <f t="shared" si="7"/>
        <v>3.899999999999999</v>
      </c>
      <c r="L114" s="32">
        <f t="shared" si="7"/>
        <v>3.899999999999999</v>
      </c>
      <c r="M114" s="32">
        <f t="shared" si="7"/>
        <v>3.899999999999999</v>
      </c>
      <c r="N114" s="32">
        <f t="shared" si="7"/>
        <v>3.899999999999999</v>
      </c>
      <c r="O114" s="32">
        <f t="shared" si="7"/>
        <v>3.899999999999999</v>
      </c>
      <c r="P114" s="32">
        <f t="shared" si="7"/>
        <v>3.899999999999999</v>
      </c>
      <c r="Q114" s="32">
        <f t="shared" si="7"/>
        <v>3.899999999999999</v>
      </c>
      <c r="R114" s="32">
        <f t="shared" si="7"/>
        <v>3.899999999999999</v>
      </c>
      <c r="S114" s="32">
        <f t="shared" si="7"/>
        <v>3.899999999999999</v>
      </c>
      <c r="T114" s="32">
        <f t="shared" si="7"/>
        <v>3.899999999999999</v>
      </c>
      <c r="U114" s="32">
        <f t="shared" si="7"/>
        <v>3.899999999999999</v>
      </c>
    </row>
    <row r="116" spans="2:21" x14ac:dyDescent="0.25">
      <c r="D116" s="32"/>
      <c r="E116" s="32"/>
      <c r="F116" s="32"/>
      <c r="G116" s="32"/>
      <c r="H116" s="32"/>
      <c r="I116" s="32"/>
    </row>
    <row r="118" spans="2:21" x14ac:dyDescent="0.25">
      <c r="D118" s="32"/>
      <c r="E118" s="32"/>
      <c r="F118" s="32"/>
      <c r="G118" s="32"/>
      <c r="H118" s="32"/>
      <c r="I118" s="32"/>
    </row>
  </sheetData>
  <pageMargins left="0.75" right="0.75" top="1" bottom="1" header="0.5" footer="0.5"/>
  <pageSetup scale="46" fitToHeight="2" orientation="portrait" r:id="rId1"/>
  <headerFooter alignWithMargins="0">
    <oddHeader>&amp;R&amp;D
&amp;T
rh</oddHeader>
    <oddFooter>&amp;L&amp;F
&amp;A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AE123"/>
  <sheetViews>
    <sheetView zoomScaleNormal="100" workbookViewId="0"/>
  </sheetViews>
  <sheetFormatPr defaultRowHeight="13.2" x14ac:dyDescent="0.25"/>
  <cols>
    <col min="1" max="1" width="9.33203125" style="67" customWidth="1"/>
    <col min="2" max="7" width="9.109375" style="67"/>
    <col min="8" max="8" width="10.6640625" style="67" customWidth="1"/>
    <col min="9" max="263" width="9.109375" style="67"/>
    <col min="264" max="264" width="10.6640625" style="67" customWidth="1"/>
    <col min="265" max="519" width="9.109375" style="67"/>
    <col min="520" max="520" width="10.6640625" style="67" customWidth="1"/>
    <col min="521" max="775" width="9.109375" style="67"/>
    <col min="776" max="776" width="10.6640625" style="67" customWidth="1"/>
    <col min="777" max="1031" width="9.109375" style="67"/>
    <col min="1032" max="1032" width="10.6640625" style="67" customWidth="1"/>
    <col min="1033" max="1287" width="9.109375" style="67"/>
    <col min="1288" max="1288" width="10.6640625" style="67" customWidth="1"/>
    <col min="1289" max="1543" width="9.109375" style="67"/>
    <col min="1544" max="1544" width="10.6640625" style="67" customWidth="1"/>
    <col min="1545" max="1799" width="9.109375" style="67"/>
    <col min="1800" max="1800" width="10.6640625" style="67" customWidth="1"/>
    <col min="1801" max="2055" width="9.109375" style="67"/>
    <col min="2056" max="2056" width="10.6640625" style="67" customWidth="1"/>
    <col min="2057" max="2311" width="9.109375" style="67"/>
    <col min="2312" max="2312" width="10.6640625" style="67" customWidth="1"/>
    <col min="2313" max="2567" width="9.109375" style="67"/>
    <col min="2568" max="2568" width="10.6640625" style="67" customWidth="1"/>
    <col min="2569" max="2823" width="9.109375" style="67"/>
    <col min="2824" max="2824" width="10.6640625" style="67" customWidth="1"/>
    <col min="2825" max="3079" width="9.109375" style="67"/>
    <col min="3080" max="3080" width="10.6640625" style="67" customWidth="1"/>
    <col min="3081" max="3335" width="9.109375" style="67"/>
    <col min="3336" max="3336" width="10.6640625" style="67" customWidth="1"/>
    <col min="3337" max="3591" width="9.109375" style="67"/>
    <col min="3592" max="3592" width="10.6640625" style="67" customWidth="1"/>
    <col min="3593" max="3847" width="9.109375" style="67"/>
    <col min="3848" max="3848" width="10.6640625" style="67" customWidth="1"/>
    <col min="3849" max="4103" width="9.109375" style="67"/>
    <col min="4104" max="4104" width="10.6640625" style="67" customWidth="1"/>
    <col min="4105" max="4359" width="9.109375" style="67"/>
    <col min="4360" max="4360" width="10.6640625" style="67" customWidth="1"/>
    <col min="4361" max="4615" width="9.109375" style="67"/>
    <col min="4616" max="4616" width="10.6640625" style="67" customWidth="1"/>
    <col min="4617" max="4871" width="9.109375" style="67"/>
    <col min="4872" max="4872" width="10.6640625" style="67" customWidth="1"/>
    <col min="4873" max="5127" width="9.109375" style="67"/>
    <col min="5128" max="5128" width="10.6640625" style="67" customWidth="1"/>
    <col min="5129" max="5383" width="9.109375" style="67"/>
    <col min="5384" max="5384" width="10.6640625" style="67" customWidth="1"/>
    <col min="5385" max="5639" width="9.109375" style="67"/>
    <col min="5640" max="5640" width="10.6640625" style="67" customWidth="1"/>
    <col min="5641" max="5895" width="9.109375" style="67"/>
    <col min="5896" max="5896" width="10.6640625" style="67" customWidth="1"/>
    <col min="5897" max="6151" width="9.109375" style="67"/>
    <col min="6152" max="6152" width="10.6640625" style="67" customWidth="1"/>
    <col min="6153" max="6407" width="9.109375" style="67"/>
    <col min="6408" max="6408" width="10.6640625" style="67" customWidth="1"/>
    <col min="6409" max="6663" width="9.109375" style="67"/>
    <col min="6664" max="6664" width="10.6640625" style="67" customWidth="1"/>
    <col min="6665" max="6919" width="9.109375" style="67"/>
    <col min="6920" max="6920" width="10.6640625" style="67" customWidth="1"/>
    <col min="6921" max="7175" width="9.109375" style="67"/>
    <col min="7176" max="7176" width="10.6640625" style="67" customWidth="1"/>
    <col min="7177" max="7431" width="9.109375" style="67"/>
    <col min="7432" max="7432" width="10.6640625" style="67" customWidth="1"/>
    <col min="7433" max="7687" width="9.109375" style="67"/>
    <col min="7688" max="7688" width="10.6640625" style="67" customWidth="1"/>
    <col min="7689" max="7943" width="9.109375" style="67"/>
    <col min="7944" max="7944" width="10.6640625" style="67" customWidth="1"/>
    <col min="7945" max="8199" width="9.109375" style="67"/>
    <col min="8200" max="8200" width="10.6640625" style="67" customWidth="1"/>
    <col min="8201" max="8455" width="9.109375" style="67"/>
    <col min="8456" max="8456" width="10.6640625" style="67" customWidth="1"/>
    <col min="8457" max="8711" width="9.109375" style="67"/>
    <col min="8712" max="8712" width="10.6640625" style="67" customWidth="1"/>
    <col min="8713" max="8967" width="9.109375" style="67"/>
    <col min="8968" max="8968" width="10.6640625" style="67" customWidth="1"/>
    <col min="8969" max="9223" width="9.109375" style="67"/>
    <col min="9224" max="9224" width="10.6640625" style="67" customWidth="1"/>
    <col min="9225" max="9479" width="9.109375" style="67"/>
    <col min="9480" max="9480" width="10.6640625" style="67" customWidth="1"/>
    <col min="9481" max="9735" width="9.109375" style="67"/>
    <col min="9736" max="9736" width="10.6640625" style="67" customWidth="1"/>
    <col min="9737" max="9991" width="9.109375" style="67"/>
    <col min="9992" max="9992" width="10.6640625" style="67" customWidth="1"/>
    <col min="9993" max="10247" width="9.109375" style="67"/>
    <col min="10248" max="10248" width="10.6640625" style="67" customWidth="1"/>
    <col min="10249" max="10503" width="9.109375" style="67"/>
    <col min="10504" max="10504" width="10.6640625" style="67" customWidth="1"/>
    <col min="10505" max="10759" width="9.109375" style="67"/>
    <col min="10760" max="10760" width="10.6640625" style="67" customWidth="1"/>
    <col min="10761" max="11015" width="9.109375" style="67"/>
    <col min="11016" max="11016" width="10.6640625" style="67" customWidth="1"/>
    <col min="11017" max="11271" width="9.109375" style="67"/>
    <col min="11272" max="11272" width="10.6640625" style="67" customWidth="1"/>
    <col min="11273" max="11527" width="9.109375" style="67"/>
    <col min="11528" max="11528" width="10.6640625" style="67" customWidth="1"/>
    <col min="11529" max="11783" width="9.109375" style="67"/>
    <col min="11784" max="11784" width="10.6640625" style="67" customWidth="1"/>
    <col min="11785" max="12039" width="9.109375" style="67"/>
    <col min="12040" max="12040" width="10.6640625" style="67" customWidth="1"/>
    <col min="12041" max="12295" width="9.109375" style="67"/>
    <col min="12296" max="12296" width="10.6640625" style="67" customWidth="1"/>
    <col min="12297" max="12551" width="9.109375" style="67"/>
    <col min="12552" max="12552" width="10.6640625" style="67" customWidth="1"/>
    <col min="12553" max="12807" width="9.109375" style="67"/>
    <col min="12808" max="12808" width="10.6640625" style="67" customWidth="1"/>
    <col min="12809" max="13063" width="9.109375" style="67"/>
    <col min="13064" max="13064" width="10.6640625" style="67" customWidth="1"/>
    <col min="13065" max="13319" width="9.109375" style="67"/>
    <col min="13320" max="13320" width="10.6640625" style="67" customWidth="1"/>
    <col min="13321" max="13575" width="9.109375" style="67"/>
    <col min="13576" max="13576" width="10.6640625" style="67" customWidth="1"/>
    <col min="13577" max="13831" width="9.109375" style="67"/>
    <col min="13832" max="13832" width="10.6640625" style="67" customWidth="1"/>
    <col min="13833" max="14087" width="9.109375" style="67"/>
    <col min="14088" max="14088" width="10.6640625" style="67" customWidth="1"/>
    <col min="14089" max="14343" width="9.109375" style="67"/>
    <col min="14344" max="14344" width="10.6640625" style="67" customWidth="1"/>
    <col min="14345" max="14599" width="9.109375" style="67"/>
    <col min="14600" max="14600" width="10.6640625" style="67" customWidth="1"/>
    <col min="14601" max="14855" width="9.109375" style="67"/>
    <col min="14856" max="14856" width="10.6640625" style="67" customWidth="1"/>
    <col min="14857" max="15111" width="9.109375" style="67"/>
    <col min="15112" max="15112" width="10.6640625" style="67" customWidth="1"/>
    <col min="15113" max="15367" width="9.109375" style="67"/>
    <col min="15368" max="15368" width="10.6640625" style="67" customWidth="1"/>
    <col min="15369" max="15623" width="9.109375" style="67"/>
    <col min="15624" max="15624" width="10.6640625" style="67" customWidth="1"/>
    <col min="15625" max="15879" width="9.109375" style="67"/>
    <col min="15880" max="15880" width="10.6640625" style="67" customWidth="1"/>
    <col min="15881" max="16135" width="9.109375" style="67"/>
    <col min="16136" max="16136" width="10.6640625" style="67" customWidth="1"/>
    <col min="16137" max="16384" width="9.109375" style="67"/>
  </cols>
  <sheetData>
    <row r="1" spans="1:15" ht="13.8" thickBot="1" x14ac:dyDescent="0.3">
      <c r="A1" s="66" t="s">
        <v>298</v>
      </c>
      <c r="B1" s="268" t="s">
        <v>402</v>
      </c>
      <c r="C1" s="79">
        <f>Drives!BA66</f>
        <v>38490.017945975058</v>
      </c>
      <c r="D1" s="68" t="s">
        <v>7</v>
      </c>
      <c r="E1" s="300">
        <v>0</v>
      </c>
      <c r="F1" s="301">
        <f>MAX(0.1,E1+100/C1)</f>
        <v>0.1</v>
      </c>
      <c r="G1" s="36" t="s">
        <v>1</v>
      </c>
      <c r="H1" s="80">
        <f>Drives!AR66</f>
        <v>0</v>
      </c>
      <c r="I1" s="249" t="s">
        <v>1153</v>
      </c>
      <c r="J1" s="80">
        <f>Drives!AN66/Drives!AH66</f>
        <v>0</v>
      </c>
      <c r="K1" s="249" t="s">
        <v>1159</v>
      </c>
      <c r="N1" s="316">
        <v>0.995</v>
      </c>
      <c r="O1" s="249" t="s">
        <v>176</v>
      </c>
    </row>
    <row r="2" spans="1:15" ht="13.8" thickBot="1" x14ac:dyDescent="0.3">
      <c r="A2" s="248" t="s">
        <v>338</v>
      </c>
      <c r="B2" s="72">
        <v>66</v>
      </c>
      <c r="C2" s="26"/>
      <c r="D2" s="26">
        <f>C4+1</f>
        <v>1</v>
      </c>
      <c r="E2" s="41">
        <f>F1-C3</f>
        <v>0</v>
      </c>
      <c r="F2" s="36"/>
      <c r="G2" s="36"/>
      <c r="H2" s="79">
        <f>Drives!X66</f>
        <v>0</v>
      </c>
      <c r="I2" s="249" t="s">
        <v>25</v>
      </c>
    </row>
    <row r="3" spans="1:15" x14ac:dyDescent="0.25">
      <c r="C3" s="41">
        <f>HLOOKUP($F$1,$D$62:$U$113,(B3+1))</f>
        <v>0.1</v>
      </c>
      <c r="D3" s="41">
        <f>HLOOKUP($D$2,$D$61:$U$113,(B3+2))</f>
        <v>0.5</v>
      </c>
      <c r="E3" s="26">
        <f>D3-C3</f>
        <v>0.4</v>
      </c>
      <c r="F3" s="26">
        <f>IF(E3=0,1,E2/E3)</f>
        <v>0</v>
      </c>
      <c r="G3" s="32">
        <f>C3+(E3*F3)</f>
        <v>0.1</v>
      </c>
      <c r="H3" s="67">
        <f>H2/100</f>
        <v>0</v>
      </c>
    </row>
    <row r="4" spans="1:15" x14ac:dyDescent="0.25">
      <c r="B4" s="67">
        <v>1</v>
      </c>
      <c r="C4" s="302">
        <f t="shared" ref="C4:C53" si="0">HLOOKUP($F$1,$D$62:$U$113,(B4+1))</f>
        <v>0</v>
      </c>
      <c r="D4" s="302">
        <f t="shared" ref="D4:D53" si="1">HLOOKUP($D$2,$D$61:$U$113,(B4+2))</f>
        <v>1</v>
      </c>
      <c r="E4" s="26"/>
      <c r="F4" s="26"/>
      <c r="G4" s="27">
        <v>100</v>
      </c>
      <c r="H4" s="69">
        <f>H1</f>
        <v>0</v>
      </c>
      <c r="I4" s="67" t="s">
        <v>53</v>
      </c>
      <c r="M4" s="520" t="s">
        <v>1157</v>
      </c>
      <c r="N4" s="521"/>
    </row>
    <row r="5" spans="1:15" x14ac:dyDescent="0.25">
      <c r="B5" s="67">
        <v>2</v>
      </c>
      <c r="C5" s="52">
        <f t="shared" si="0"/>
        <v>0.72</v>
      </c>
      <c r="D5" s="52">
        <f t="shared" si="1"/>
        <v>0.72</v>
      </c>
      <c r="E5" s="48">
        <f>D5-C5</f>
        <v>0</v>
      </c>
      <c r="F5" s="48">
        <f>E5*$F$3</f>
        <v>0</v>
      </c>
      <c r="G5" s="48">
        <f>C5+F5</f>
        <v>0.72</v>
      </c>
      <c r="H5" s="308">
        <f>IF(H4=0,0,J$1*G5/100)</f>
        <v>0</v>
      </c>
      <c r="M5" s="521"/>
      <c r="N5" s="521" t="s">
        <v>1160</v>
      </c>
    </row>
    <row r="6" spans="1:15" x14ac:dyDescent="0.25">
      <c r="B6" s="67">
        <v>3</v>
      </c>
      <c r="C6" s="52">
        <f t="shared" si="0"/>
        <v>0.62</v>
      </c>
      <c r="D6" s="52">
        <f t="shared" si="1"/>
        <v>0.62</v>
      </c>
      <c r="E6" s="48">
        <f t="shared" ref="E6:E53" si="2">D6-C6</f>
        <v>0</v>
      </c>
      <c r="F6" s="48">
        <f t="shared" ref="F6:F53" si="3">E6*$F$3</f>
        <v>0</v>
      </c>
      <c r="G6" s="48">
        <f t="shared" ref="G6:G53" si="4">C6+F6</f>
        <v>0.62</v>
      </c>
      <c r="H6" s="308">
        <f t="shared" ref="H6:H53" si="5">IF(H5=0,0,J$1*G6/100)</f>
        <v>0</v>
      </c>
      <c r="M6" s="521"/>
      <c r="N6" s="521" t="s">
        <v>1158</v>
      </c>
    </row>
    <row r="7" spans="1:15" x14ac:dyDescent="0.25">
      <c r="B7" s="67">
        <v>4</v>
      </c>
      <c r="C7" s="52">
        <f t="shared" si="0"/>
        <v>0.5</v>
      </c>
      <c r="D7" s="52">
        <f t="shared" si="1"/>
        <v>0.5</v>
      </c>
      <c r="E7" s="48">
        <f t="shared" si="2"/>
        <v>0</v>
      </c>
      <c r="F7" s="48">
        <f t="shared" si="3"/>
        <v>0</v>
      </c>
      <c r="G7" s="48">
        <f t="shared" si="4"/>
        <v>0.5</v>
      </c>
      <c r="H7" s="308">
        <f t="shared" si="5"/>
        <v>0</v>
      </c>
      <c r="N7" s="521" t="s">
        <v>1154</v>
      </c>
    </row>
    <row r="8" spans="1:15" x14ac:dyDescent="0.25">
      <c r="B8" s="67">
        <v>5</v>
      </c>
      <c r="C8" s="52">
        <f t="shared" si="0"/>
        <v>2.54</v>
      </c>
      <c r="D8" s="52">
        <f t="shared" si="1"/>
        <v>2.54</v>
      </c>
      <c r="E8" s="48">
        <f t="shared" si="2"/>
        <v>0</v>
      </c>
      <c r="F8" s="48">
        <f t="shared" si="3"/>
        <v>0</v>
      </c>
      <c r="G8" s="48">
        <f t="shared" si="4"/>
        <v>2.54</v>
      </c>
      <c r="H8" s="308">
        <f t="shared" si="5"/>
        <v>0</v>
      </c>
    </row>
    <row r="9" spans="1:15" x14ac:dyDescent="0.25">
      <c r="B9" s="67">
        <v>6</v>
      </c>
      <c r="C9" s="52">
        <f t="shared" si="0"/>
        <v>0.2</v>
      </c>
      <c r="D9" s="52">
        <f t="shared" si="1"/>
        <v>0.2</v>
      </c>
      <c r="E9" s="48">
        <f t="shared" si="2"/>
        <v>0</v>
      </c>
      <c r="F9" s="48">
        <f t="shared" si="3"/>
        <v>0</v>
      </c>
      <c r="G9" s="48">
        <f t="shared" si="4"/>
        <v>0.2</v>
      </c>
      <c r="H9" s="308">
        <f t="shared" si="5"/>
        <v>0</v>
      </c>
    </row>
    <row r="10" spans="1:15" x14ac:dyDescent="0.25">
      <c r="B10" s="67">
        <v>7</v>
      </c>
      <c r="C10" s="52">
        <f t="shared" si="0"/>
        <v>0.47</v>
      </c>
      <c r="D10" s="52">
        <f t="shared" si="1"/>
        <v>0.47</v>
      </c>
      <c r="E10" s="48">
        <f t="shared" si="2"/>
        <v>0</v>
      </c>
      <c r="F10" s="48">
        <f t="shared" si="3"/>
        <v>0</v>
      </c>
      <c r="G10" s="48">
        <f t="shared" si="4"/>
        <v>0.47</v>
      </c>
      <c r="H10" s="308">
        <f t="shared" si="5"/>
        <v>0</v>
      </c>
    </row>
    <row r="11" spans="1:15" x14ac:dyDescent="0.25">
      <c r="B11" s="67">
        <v>8</v>
      </c>
      <c r="C11" s="52">
        <f t="shared" si="0"/>
        <v>0.15</v>
      </c>
      <c r="D11" s="52">
        <f t="shared" si="1"/>
        <v>0.15</v>
      </c>
      <c r="E11" s="48">
        <f t="shared" si="2"/>
        <v>0</v>
      </c>
      <c r="F11" s="48">
        <f t="shared" si="3"/>
        <v>0</v>
      </c>
      <c r="G11" s="48">
        <f t="shared" si="4"/>
        <v>0.15</v>
      </c>
      <c r="H11" s="308">
        <f t="shared" si="5"/>
        <v>0</v>
      </c>
    </row>
    <row r="12" spans="1:15" x14ac:dyDescent="0.25">
      <c r="B12" s="67">
        <v>9</v>
      </c>
      <c r="C12" s="52">
        <f t="shared" si="0"/>
        <v>0.45</v>
      </c>
      <c r="D12" s="52">
        <f t="shared" si="1"/>
        <v>0.45</v>
      </c>
      <c r="E12" s="48">
        <f t="shared" si="2"/>
        <v>0</v>
      </c>
      <c r="F12" s="48">
        <f t="shared" si="3"/>
        <v>0</v>
      </c>
      <c r="G12" s="48">
        <f t="shared" si="4"/>
        <v>0.45</v>
      </c>
      <c r="H12" s="308">
        <f t="shared" si="5"/>
        <v>0</v>
      </c>
    </row>
    <row r="13" spans="1:15" x14ac:dyDescent="0.25">
      <c r="B13" s="67">
        <v>10</v>
      </c>
      <c r="C13" s="52">
        <f t="shared" si="0"/>
        <v>0.18</v>
      </c>
      <c r="D13" s="52">
        <f t="shared" si="1"/>
        <v>0.18</v>
      </c>
      <c r="E13" s="48">
        <f t="shared" si="2"/>
        <v>0</v>
      </c>
      <c r="F13" s="48">
        <f t="shared" si="3"/>
        <v>0</v>
      </c>
      <c r="G13" s="48">
        <f t="shared" si="4"/>
        <v>0.18</v>
      </c>
      <c r="H13" s="308">
        <f t="shared" si="5"/>
        <v>0</v>
      </c>
    </row>
    <row r="14" spans="1:15" x14ac:dyDescent="0.25">
      <c r="B14" s="67">
        <v>11</v>
      </c>
      <c r="C14" s="52">
        <f t="shared" si="0"/>
        <v>0.28000000000000003</v>
      </c>
      <c r="D14" s="52">
        <f t="shared" si="1"/>
        <v>0.28000000000000003</v>
      </c>
      <c r="E14" s="48">
        <f t="shared" si="2"/>
        <v>0</v>
      </c>
      <c r="F14" s="48">
        <f t="shared" si="3"/>
        <v>0</v>
      </c>
      <c r="G14" s="48">
        <f t="shared" si="4"/>
        <v>0.28000000000000003</v>
      </c>
      <c r="H14" s="308">
        <f t="shared" si="5"/>
        <v>0</v>
      </c>
    </row>
    <row r="15" spans="1:15" x14ac:dyDescent="0.25">
      <c r="B15" s="67">
        <v>12</v>
      </c>
      <c r="C15" s="52">
        <f t="shared" si="0"/>
        <v>0.26</v>
      </c>
      <c r="D15" s="52">
        <f t="shared" si="1"/>
        <v>0.26</v>
      </c>
      <c r="E15" s="48">
        <f t="shared" si="2"/>
        <v>0</v>
      </c>
      <c r="F15" s="48">
        <f t="shared" si="3"/>
        <v>0</v>
      </c>
      <c r="G15" s="48">
        <f t="shared" si="4"/>
        <v>0.26</v>
      </c>
      <c r="H15" s="308">
        <f t="shared" si="5"/>
        <v>0</v>
      </c>
    </row>
    <row r="16" spans="1:15" x14ac:dyDescent="0.25">
      <c r="B16" s="67">
        <v>13</v>
      </c>
      <c r="C16" s="52">
        <f t="shared" si="0"/>
        <v>0.44</v>
      </c>
      <c r="D16" s="52">
        <f t="shared" si="1"/>
        <v>0.44</v>
      </c>
      <c r="E16" s="48">
        <f t="shared" si="2"/>
        <v>0</v>
      </c>
      <c r="F16" s="48">
        <f t="shared" si="3"/>
        <v>0</v>
      </c>
      <c r="G16" s="48">
        <f t="shared" si="4"/>
        <v>0.44</v>
      </c>
      <c r="H16" s="308">
        <f t="shared" si="5"/>
        <v>0</v>
      </c>
    </row>
    <row r="17" spans="2:8" x14ac:dyDescent="0.25">
      <c r="B17" s="67">
        <v>14</v>
      </c>
      <c r="C17" s="52">
        <f t="shared" si="0"/>
        <v>0.34</v>
      </c>
      <c r="D17" s="52">
        <f t="shared" si="1"/>
        <v>0.34</v>
      </c>
      <c r="E17" s="48">
        <f t="shared" si="2"/>
        <v>0</v>
      </c>
      <c r="F17" s="48">
        <f t="shared" si="3"/>
        <v>0</v>
      </c>
      <c r="G17" s="48">
        <f t="shared" si="4"/>
        <v>0.34</v>
      </c>
      <c r="H17" s="308">
        <f t="shared" si="5"/>
        <v>0</v>
      </c>
    </row>
    <row r="18" spans="2:8" x14ac:dyDescent="0.25">
      <c r="B18" s="67">
        <v>15</v>
      </c>
      <c r="C18" s="52">
        <f t="shared" si="0"/>
        <v>0.28000000000000003</v>
      </c>
      <c r="D18" s="52">
        <f t="shared" si="1"/>
        <v>0.28000000000000003</v>
      </c>
      <c r="E18" s="48">
        <f t="shared" si="2"/>
        <v>0</v>
      </c>
      <c r="F18" s="48">
        <f t="shared" si="3"/>
        <v>0</v>
      </c>
      <c r="G18" s="48">
        <f t="shared" si="4"/>
        <v>0.28000000000000003</v>
      </c>
      <c r="H18" s="308">
        <f t="shared" si="5"/>
        <v>0</v>
      </c>
    </row>
    <row r="19" spans="2:8" x14ac:dyDescent="0.25">
      <c r="B19" s="67">
        <v>16</v>
      </c>
      <c r="C19" s="52">
        <f t="shared" si="0"/>
        <v>0.26</v>
      </c>
      <c r="D19" s="52">
        <f t="shared" si="1"/>
        <v>0.26</v>
      </c>
      <c r="E19" s="48">
        <f t="shared" si="2"/>
        <v>0</v>
      </c>
      <c r="F19" s="48">
        <f t="shared" si="3"/>
        <v>0</v>
      </c>
      <c r="G19" s="48">
        <f t="shared" si="4"/>
        <v>0.26</v>
      </c>
      <c r="H19" s="308">
        <f t="shared" si="5"/>
        <v>0</v>
      </c>
    </row>
    <row r="20" spans="2:8" x14ac:dyDescent="0.25">
      <c r="B20" s="67">
        <v>17</v>
      </c>
      <c r="C20" s="52">
        <f t="shared" si="0"/>
        <v>0.28999999999999998</v>
      </c>
      <c r="D20" s="52">
        <f t="shared" si="1"/>
        <v>0.28999999999999998</v>
      </c>
      <c r="E20" s="48">
        <f t="shared" si="2"/>
        <v>0</v>
      </c>
      <c r="F20" s="48">
        <f t="shared" si="3"/>
        <v>0</v>
      </c>
      <c r="G20" s="48">
        <f t="shared" si="4"/>
        <v>0.28999999999999998</v>
      </c>
      <c r="H20" s="308">
        <f t="shared" si="5"/>
        <v>0</v>
      </c>
    </row>
    <row r="21" spans="2:8" x14ac:dyDescent="0.25">
      <c r="B21" s="67">
        <v>18</v>
      </c>
      <c r="C21" s="52">
        <f t="shared" si="0"/>
        <v>0.17</v>
      </c>
      <c r="D21" s="52">
        <f t="shared" si="1"/>
        <v>0.17</v>
      </c>
      <c r="E21" s="48">
        <f t="shared" si="2"/>
        <v>0</v>
      </c>
      <c r="F21" s="48">
        <f t="shared" si="3"/>
        <v>0</v>
      </c>
      <c r="G21" s="48">
        <f t="shared" si="4"/>
        <v>0.17</v>
      </c>
      <c r="H21" s="308">
        <f t="shared" si="5"/>
        <v>0</v>
      </c>
    </row>
    <row r="22" spans="2:8" x14ac:dyDescent="0.25">
      <c r="B22" s="67">
        <v>19</v>
      </c>
      <c r="C22" s="52">
        <f t="shared" si="0"/>
        <v>0.31</v>
      </c>
      <c r="D22" s="52">
        <f t="shared" si="1"/>
        <v>0.31</v>
      </c>
      <c r="E22" s="48">
        <f t="shared" si="2"/>
        <v>0</v>
      </c>
      <c r="F22" s="48">
        <f t="shared" si="3"/>
        <v>0</v>
      </c>
      <c r="G22" s="48">
        <f t="shared" si="4"/>
        <v>0.31</v>
      </c>
      <c r="H22" s="308">
        <f t="shared" si="5"/>
        <v>0</v>
      </c>
    </row>
    <row r="23" spans="2:8" x14ac:dyDescent="0.25">
      <c r="B23" s="67">
        <v>20</v>
      </c>
      <c r="C23" s="52">
        <f t="shared" si="0"/>
        <v>0.28000000000000003</v>
      </c>
      <c r="D23" s="52">
        <f t="shared" si="1"/>
        <v>0.28000000000000003</v>
      </c>
      <c r="E23" s="48">
        <f t="shared" si="2"/>
        <v>0</v>
      </c>
      <c r="F23" s="48">
        <f t="shared" si="3"/>
        <v>0</v>
      </c>
      <c r="G23" s="48">
        <f t="shared" si="4"/>
        <v>0.28000000000000003</v>
      </c>
      <c r="H23" s="308">
        <f t="shared" si="5"/>
        <v>0</v>
      </c>
    </row>
    <row r="24" spans="2:8" x14ac:dyDescent="0.25">
      <c r="B24" s="67">
        <v>21</v>
      </c>
      <c r="C24" s="52">
        <f t="shared" si="0"/>
        <v>0.33</v>
      </c>
      <c r="D24" s="52">
        <f t="shared" si="1"/>
        <v>0.33</v>
      </c>
      <c r="E24" s="48">
        <f t="shared" si="2"/>
        <v>0</v>
      </c>
      <c r="F24" s="48">
        <f t="shared" si="3"/>
        <v>0</v>
      </c>
      <c r="G24" s="48">
        <f t="shared" si="4"/>
        <v>0.33</v>
      </c>
      <c r="H24" s="308">
        <f t="shared" si="5"/>
        <v>0</v>
      </c>
    </row>
    <row r="25" spans="2:8" x14ac:dyDescent="0.25">
      <c r="B25" s="67">
        <v>22</v>
      </c>
      <c r="C25" s="52">
        <f t="shared" si="0"/>
        <v>0.23</v>
      </c>
      <c r="D25" s="52">
        <f t="shared" si="1"/>
        <v>0.23</v>
      </c>
      <c r="E25" s="48">
        <f t="shared" si="2"/>
        <v>0</v>
      </c>
      <c r="F25" s="48">
        <f t="shared" si="3"/>
        <v>0</v>
      </c>
      <c r="G25" s="48">
        <f t="shared" si="4"/>
        <v>0.23</v>
      </c>
      <c r="H25" s="308">
        <f t="shared" si="5"/>
        <v>0</v>
      </c>
    </row>
    <row r="26" spans="2:8" x14ac:dyDescent="0.25">
      <c r="B26" s="67">
        <v>23</v>
      </c>
      <c r="C26" s="52">
        <f t="shared" si="0"/>
        <v>0.89</v>
      </c>
      <c r="D26" s="52">
        <f t="shared" si="1"/>
        <v>0.89</v>
      </c>
      <c r="E26" s="48">
        <f t="shared" si="2"/>
        <v>0</v>
      </c>
      <c r="F26" s="48">
        <f t="shared" si="3"/>
        <v>0</v>
      </c>
      <c r="G26" s="48">
        <f t="shared" si="4"/>
        <v>0.89</v>
      </c>
      <c r="H26" s="308">
        <f t="shared" si="5"/>
        <v>0</v>
      </c>
    </row>
    <row r="27" spans="2:8" x14ac:dyDescent="0.25">
      <c r="B27" s="67">
        <v>24</v>
      </c>
      <c r="C27" s="52">
        <f t="shared" si="0"/>
        <v>0.35</v>
      </c>
      <c r="D27" s="52">
        <f t="shared" si="1"/>
        <v>0.35</v>
      </c>
      <c r="E27" s="48">
        <f t="shared" si="2"/>
        <v>0</v>
      </c>
      <c r="F27" s="48">
        <f t="shared" si="3"/>
        <v>0</v>
      </c>
      <c r="G27" s="48">
        <f t="shared" si="4"/>
        <v>0.35</v>
      </c>
      <c r="H27" s="308">
        <f t="shared" si="5"/>
        <v>0</v>
      </c>
    </row>
    <row r="28" spans="2:8" x14ac:dyDescent="0.25">
      <c r="B28" s="67">
        <v>25</v>
      </c>
      <c r="C28" s="52">
        <f t="shared" si="0"/>
        <v>0.41</v>
      </c>
      <c r="D28" s="52">
        <f t="shared" si="1"/>
        <v>0.41</v>
      </c>
      <c r="E28" s="48">
        <f t="shared" si="2"/>
        <v>0</v>
      </c>
      <c r="F28" s="48">
        <f t="shared" si="3"/>
        <v>0</v>
      </c>
      <c r="G28" s="48">
        <f t="shared" si="4"/>
        <v>0.41</v>
      </c>
      <c r="H28" s="308">
        <f t="shared" si="5"/>
        <v>0</v>
      </c>
    </row>
    <row r="29" spans="2:8" x14ac:dyDescent="0.25">
      <c r="B29" s="67">
        <v>26</v>
      </c>
      <c r="C29" s="52">
        <f t="shared" si="0"/>
        <v>0.42</v>
      </c>
      <c r="D29" s="52">
        <f t="shared" si="1"/>
        <v>0.42</v>
      </c>
      <c r="E29" s="48">
        <f t="shared" si="2"/>
        <v>0</v>
      </c>
      <c r="F29" s="48">
        <f t="shared" si="3"/>
        <v>0</v>
      </c>
      <c r="G29" s="48">
        <f t="shared" si="4"/>
        <v>0.42</v>
      </c>
      <c r="H29" s="308">
        <f t="shared" si="5"/>
        <v>0</v>
      </c>
    </row>
    <row r="30" spans="2:8" x14ac:dyDescent="0.25">
      <c r="B30" s="67">
        <v>27</v>
      </c>
      <c r="C30" s="52">
        <f t="shared" si="0"/>
        <v>0.69</v>
      </c>
      <c r="D30" s="52">
        <f t="shared" si="1"/>
        <v>0.69</v>
      </c>
      <c r="E30" s="48">
        <f t="shared" si="2"/>
        <v>0</v>
      </c>
      <c r="F30" s="48">
        <f t="shared" si="3"/>
        <v>0</v>
      </c>
      <c r="G30" s="48">
        <f t="shared" si="4"/>
        <v>0.69</v>
      </c>
      <c r="H30" s="308">
        <f t="shared" si="5"/>
        <v>0</v>
      </c>
    </row>
    <row r="31" spans="2:8" x14ac:dyDescent="0.25">
      <c r="B31" s="67">
        <v>28</v>
      </c>
      <c r="C31" s="52">
        <f t="shared" si="0"/>
        <v>0.53</v>
      </c>
      <c r="D31" s="52">
        <f t="shared" si="1"/>
        <v>0.53</v>
      </c>
      <c r="E31" s="48">
        <f t="shared" si="2"/>
        <v>0</v>
      </c>
      <c r="F31" s="48">
        <f t="shared" si="3"/>
        <v>0</v>
      </c>
      <c r="G31" s="48">
        <f t="shared" si="4"/>
        <v>0.53</v>
      </c>
      <c r="H31" s="308">
        <f t="shared" si="5"/>
        <v>0</v>
      </c>
    </row>
    <row r="32" spans="2:8" x14ac:dyDescent="0.25">
      <c r="B32" s="67">
        <v>29</v>
      </c>
      <c r="C32" s="52">
        <f t="shared" si="0"/>
        <v>0.81</v>
      </c>
      <c r="D32" s="52">
        <f t="shared" si="1"/>
        <v>0.81</v>
      </c>
      <c r="E32" s="48">
        <f t="shared" si="2"/>
        <v>0</v>
      </c>
      <c r="F32" s="48">
        <f t="shared" si="3"/>
        <v>0</v>
      </c>
      <c r="G32" s="48">
        <f t="shared" si="4"/>
        <v>0.81</v>
      </c>
      <c r="H32" s="308">
        <f t="shared" si="5"/>
        <v>0</v>
      </c>
    </row>
    <row r="33" spans="2:8" x14ac:dyDescent="0.25">
      <c r="B33" s="67">
        <v>30</v>
      </c>
      <c r="C33" s="52">
        <f t="shared" si="0"/>
        <v>0.33</v>
      </c>
      <c r="D33" s="52">
        <f t="shared" si="1"/>
        <v>0.33</v>
      </c>
      <c r="E33" s="48">
        <f t="shared" si="2"/>
        <v>0</v>
      </c>
      <c r="F33" s="48">
        <f t="shared" si="3"/>
        <v>0</v>
      </c>
      <c r="G33" s="48">
        <f t="shared" si="4"/>
        <v>0.33</v>
      </c>
      <c r="H33" s="308">
        <f t="shared" si="5"/>
        <v>0</v>
      </c>
    </row>
    <row r="34" spans="2:8" x14ac:dyDescent="0.25">
      <c r="B34" s="67">
        <v>31</v>
      </c>
      <c r="C34" s="52">
        <f t="shared" si="0"/>
        <v>0.68</v>
      </c>
      <c r="D34" s="52">
        <f t="shared" si="1"/>
        <v>0.68</v>
      </c>
      <c r="E34" s="48">
        <f t="shared" si="2"/>
        <v>0</v>
      </c>
      <c r="F34" s="48">
        <f t="shared" si="3"/>
        <v>0</v>
      </c>
      <c r="G34" s="48">
        <f t="shared" si="4"/>
        <v>0.68</v>
      </c>
      <c r="H34" s="308">
        <f t="shared" si="5"/>
        <v>0</v>
      </c>
    </row>
    <row r="35" spans="2:8" x14ac:dyDescent="0.25">
      <c r="B35" s="67">
        <v>32</v>
      </c>
      <c r="C35" s="52">
        <f t="shared" si="0"/>
        <v>0.28999999999999998</v>
      </c>
      <c r="D35" s="52">
        <f t="shared" si="1"/>
        <v>0.28999999999999998</v>
      </c>
      <c r="E35" s="48">
        <f t="shared" si="2"/>
        <v>0</v>
      </c>
      <c r="F35" s="48">
        <f t="shared" si="3"/>
        <v>0</v>
      </c>
      <c r="G35" s="48">
        <f t="shared" si="4"/>
        <v>0.28999999999999998</v>
      </c>
      <c r="H35" s="308">
        <f t="shared" si="5"/>
        <v>0</v>
      </c>
    </row>
    <row r="36" spans="2:8" x14ac:dyDescent="0.25">
      <c r="B36" s="67">
        <v>33</v>
      </c>
      <c r="C36" s="52">
        <f t="shared" si="0"/>
        <v>0.26</v>
      </c>
      <c r="D36" s="52">
        <f t="shared" si="1"/>
        <v>0.26</v>
      </c>
      <c r="E36" s="48">
        <f t="shared" si="2"/>
        <v>0</v>
      </c>
      <c r="F36" s="48">
        <f t="shared" si="3"/>
        <v>0</v>
      </c>
      <c r="G36" s="48">
        <f t="shared" si="4"/>
        <v>0.26</v>
      </c>
      <c r="H36" s="308">
        <f t="shared" si="5"/>
        <v>0</v>
      </c>
    </row>
    <row r="37" spans="2:8" x14ac:dyDescent="0.25">
      <c r="B37" s="67">
        <v>34</v>
      </c>
      <c r="C37" s="52">
        <f t="shared" si="0"/>
        <v>0.24</v>
      </c>
      <c r="D37" s="52">
        <f t="shared" si="1"/>
        <v>0.24</v>
      </c>
      <c r="E37" s="48">
        <f t="shared" si="2"/>
        <v>0</v>
      </c>
      <c r="F37" s="48">
        <f t="shared" si="3"/>
        <v>0</v>
      </c>
      <c r="G37" s="48">
        <f t="shared" si="4"/>
        <v>0.24</v>
      </c>
      <c r="H37" s="308">
        <f t="shared" si="5"/>
        <v>0</v>
      </c>
    </row>
    <row r="38" spans="2:8" x14ac:dyDescent="0.25">
      <c r="B38" s="67">
        <v>35</v>
      </c>
      <c r="C38" s="52">
        <f t="shared" si="0"/>
        <v>0.41</v>
      </c>
      <c r="D38" s="52">
        <f t="shared" si="1"/>
        <v>0.41</v>
      </c>
      <c r="E38" s="48">
        <f t="shared" si="2"/>
        <v>0</v>
      </c>
      <c r="F38" s="48">
        <f t="shared" si="3"/>
        <v>0</v>
      </c>
      <c r="G38" s="48">
        <f t="shared" si="4"/>
        <v>0.41</v>
      </c>
      <c r="H38" s="308">
        <f t="shared" si="5"/>
        <v>0</v>
      </c>
    </row>
    <row r="39" spans="2:8" x14ac:dyDescent="0.25">
      <c r="B39" s="67">
        <v>36</v>
      </c>
      <c r="C39" s="52">
        <f t="shared" si="0"/>
        <v>0.1</v>
      </c>
      <c r="D39" s="52">
        <f t="shared" si="1"/>
        <v>0.1</v>
      </c>
      <c r="E39" s="48">
        <f t="shared" si="2"/>
        <v>0</v>
      </c>
      <c r="F39" s="48">
        <f t="shared" si="3"/>
        <v>0</v>
      </c>
      <c r="G39" s="48">
        <f t="shared" si="4"/>
        <v>0.1</v>
      </c>
      <c r="H39" s="308">
        <f t="shared" si="5"/>
        <v>0</v>
      </c>
    </row>
    <row r="40" spans="2:8" x14ac:dyDescent="0.25">
      <c r="B40" s="67">
        <v>37</v>
      </c>
      <c r="C40" s="52">
        <f t="shared" si="0"/>
        <v>0.28000000000000003</v>
      </c>
      <c r="D40" s="52">
        <f t="shared" si="1"/>
        <v>0.28000000000000003</v>
      </c>
      <c r="E40" s="48">
        <f t="shared" si="2"/>
        <v>0</v>
      </c>
      <c r="F40" s="48">
        <f t="shared" si="3"/>
        <v>0</v>
      </c>
      <c r="G40" s="48">
        <f t="shared" si="4"/>
        <v>0.28000000000000003</v>
      </c>
      <c r="H40" s="308">
        <f t="shared" si="5"/>
        <v>0</v>
      </c>
    </row>
    <row r="41" spans="2:8" x14ac:dyDescent="0.25">
      <c r="B41" s="67">
        <v>38</v>
      </c>
      <c r="C41" s="52">
        <f t="shared" si="0"/>
        <v>0.08</v>
      </c>
      <c r="D41" s="52">
        <f t="shared" si="1"/>
        <v>0.08</v>
      </c>
      <c r="E41" s="48">
        <f t="shared" si="2"/>
        <v>0</v>
      </c>
      <c r="F41" s="48">
        <f t="shared" si="3"/>
        <v>0</v>
      </c>
      <c r="G41" s="48">
        <f t="shared" si="4"/>
        <v>0.08</v>
      </c>
      <c r="H41" s="308">
        <f t="shared" si="5"/>
        <v>0</v>
      </c>
    </row>
    <row r="42" spans="2:8" x14ac:dyDescent="0.25">
      <c r="B42" s="67">
        <v>39</v>
      </c>
      <c r="C42" s="52">
        <f t="shared" si="0"/>
        <v>0.15</v>
      </c>
      <c r="D42" s="52">
        <f t="shared" si="1"/>
        <v>0.15</v>
      </c>
      <c r="E42" s="48">
        <f t="shared" si="2"/>
        <v>0</v>
      </c>
      <c r="F42" s="48">
        <f t="shared" si="3"/>
        <v>0</v>
      </c>
      <c r="G42" s="48">
        <f t="shared" si="4"/>
        <v>0.15</v>
      </c>
      <c r="H42" s="308">
        <f t="shared" si="5"/>
        <v>0</v>
      </c>
    </row>
    <row r="43" spans="2:8" x14ac:dyDescent="0.25">
      <c r="B43" s="67">
        <v>40</v>
      </c>
      <c r="C43" s="52">
        <f t="shared" si="0"/>
        <v>0.1</v>
      </c>
      <c r="D43" s="52">
        <f t="shared" si="1"/>
        <v>0.1</v>
      </c>
      <c r="E43" s="48">
        <f t="shared" si="2"/>
        <v>0</v>
      </c>
      <c r="F43" s="48">
        <f t="shared" si="3"/>
        <v>0</v>
      </c>
      <c r="G43" s="48">
        <f t="shared" si="4"/>
        <v>0.1</v>
      </c>
      <c r="H43" s="308">
        <f t="shared" si="5"/>
        <v>0</v>
      </c>
    </row>
    <row r="44" spans="2:8" x14ac:dyDescent="0.25">
      <c r="B44" s="67">
        <v>41</v>
      </c>
      <c r="C44" s="52">
        <f t="shared" si="0"/>
        <v>0.27</v>
      </c>
      <c r="D44" s="52">
        <f t="shared" si="1"/>
        <v>0.27</v>
      </c>
      <c r="E44" s="48">
        <f t="shared" si="2"/>
        <v>0</v>
      </c>
      <c r="F44" s="48">
        <f t="shared" si="3"/>
        <v>0</v>
      </c>
      <c r="G44" s="48">
        <f t="shared" si="4"/>
        <v>0.27</v>
      </c>
      <c r="H44" s="308">
        <f t="shared" si="5"/>
        <v>0</v>
      </c>
    </row>
    <row r="45" spans="2:8" x14ac:dyDescent="0.25">
      <c r="B45" s="67">
        <v>42</v>
      </c>
      <c r="C45" s="52">
        <f t="shared" si="0"/>
        <v>0.06</v>
      </c>
      <c r="D45" s="52">
        <f t="shared" si="1"/>
        <v>0.06</v>
      </c>
      <c r="E45" s="48">
        <f t="shared" si="2"/>
        <v>0</v>
      </c>
      <c r="F45" s="48">
        <f t="shared" si="3"/>
        <v>0</v>
      </c>
      <c r="G45" s="48">
        <f t="shared" si="4"/>
        <v>0.06</v>
      </c>
      <c r="H45" s="308">
        <f t="shared" si="5"/>
        <v>0</v>
      </c>
    </row>
    <row r="46" spans="2:8" x14ac:dyDescent="0.25">
      <c r="B46" s="67">
        <v>43</v>
      </c>
      <c r="C46" s="52">
        <f t="shared" si="0"/>
        <v>0.14000000000000001</v>
      </c>
      <c r="D46" s="52">
        <f t="shared" si="1"/>
        <v>0.14000000000000001</v>
      </c>
      <c r="E46" s="48">
        <f t="shared" si="2"/>
        <v>0</v>
      </c>
      <c r="F46" s="48">
        <f t="shared" si="3"/>
        <v>0</v>
      </c>
      <c r="G46" s="48">
        <f t="shared" si="4"/>
        <v>0.14000000000000001</v>
      </c>
      <c r="H46" s="308">
        <f t="shared" si="5"/>
        <v>0</v>
      </c>
    </row>
    <row r="47" spans="2:8" x14ac:dyDescent="0.25">
      <c r="B47" s="67">
        <v>44</v>
      </c>
      <c r="C47" s="52">
        <f t="shared" si="0"/>
        <v>7.0000000000000007E-2</v>
      </c>
      <c r="D47" s="52">
        <f t="shared" si="1"/>
        <v>7.0000000000000007E-2</v>
      </c>
      <c r="E47" s="48">
        <f t="shared" si="2"/>
        <v>0</v>
      </c>
      <c r="F47" s="48">
        <f t="shared" si="3"/>
        <v>0</v>
      </c>
      <c r="G47" s="48">
        <f t="shared" si="4"/>
        <v>7.0000000000000007E-2</v>
      </c>
      <c r="H47" s="308">
        <f t="shared" si="5"/>
        <v>0</v>
      </c>
    </row>
    <row r="48" spans="2:8" x14ac:dyDescent="0.25">
      <c r="B48" s="67">
        <v>45</v>
      </c>
      <c r="C48" s="52">
        <f t="shared" si="0"/>
        <v>0.06</v>
      </c>
      <c r="D48" s="52">
        <f t="shared" si="1"/>
        <v>0.06</v>
      </c>
      <c r="E48" s="48">
        <f t="shared" si="2"/>
        <v>0</v>
      </c>
      <c r="F48" s="48">
        <f t="shared" si="3"/>
        <v>0</v>
      </c>
      <c r="G48" s="48">
        <f t="shared" si="4"/>
        <v>0.06</v>
      </c>
      <c r="H48" s="308">
        <f t="shared" si="5"/>
        <v>0</v>
      </c>
    </row>
    <row r="49" spans="1:28" x14ac:dyDescent="0.25">
      <c r="B49" s="67">
        <v>46</v>
      </c>
      <c r="C49" s="52">
        <f t="shared" si="0"/>
        <v>0.09</v>
      </c>
      <c r="D49" s="52">
        <f t="shared" si="1"/>
        <v>0.09</v>
      </c>
      <c r="E49" s="48">
        <f t="shared" si="2"/>
        <v>0</v>
      </c>
      <c r="F49" s="48">
        <f t="shared" si="3"/>
        <v>0</v>
      </c>
      <c r="G49" s="48">
        <f t="shared" si="4"/>
        <v>0.09</v>
      </c>
      <c r="H49" s="308">
        <f t="shared" si="5"/>
        <v>0</v>
      </c>
    </row>
    <row r="50" spans="1:28" x14ac:dyDescent="0.25">
      <c r="B50" s="67">
        <v>47</v>
      </c>
      <c r="C50" s="52">
        <f t="shared" si="0"/>
        <v>0.23</v>
      </c>
      <c r="D50" s="52">
        <f t="shared" si="1"/>
        <v>0.23</v>
      </c>
      <c r="E50" s="48">
        <f t="shared" si="2"/>
        <v>0</v>
      </c>
      <c r="F50" s="48">
        <f t="shared" si="3"/>
        <v>0</v>
      </c>
      <c r="G50" s="48">
        <f t="shared" si="4"/>
        <v>0.23</v>
      </c>
      <c r="H50" s="308">
        <f t="shared" si="5"/>
        <v>0</v>
      </c>
    </row>
    <row r="51" spans="1:28" x14ac:dyDescent="0.25">
      <c r="B51" s="67">
        <v>48</v>
      </c>
      <c r="C51" s="52">
        <f t="shared" si="0"/>
        <v>7.0000000000000007E-2</v>
      </c>
      <c r="D51" s="52">
        <f t="shared" si="1"/>
        <v>7.0000000000000007E-2</v>
      </c>
      <c r="E51" s="48">
        <f t="shared" si="2"/>
        <v>0</v>
      </c>
      <c r="F51" s="48">
        <f t="shared" si="3"/>
        <v>0</v>
      </c>
      <c r="G51" s="48">
        <f t="shared" si="4"/>
        <v>7.0000000000000007E-2</v>
      </c>
      <c r="H51" s="308">
        <f t="shared" si="5"/>
        <v>0</v>
      </c>
    </row>
    <row r="52" spans="1:28" x14ac:dyDescent="0.25">
      <c r="B52" s="67">
        <v>49</v>
      </c>
      <c r="C52" s="52">
        <f t="shared" si="0"/>
        <v>0.15</v>
      </c>
      <c r="D52" s="52">
        <f t="shared" si="1"/>
        <v>0.15</v>
      </c>
      <c r="E52" s="48">
        <f t="shared" si="2"/>
        <v>0</v>
      </c>
      <c r="F52" s="48">
        <f t="shared" si="3"/>
        <v>0</v>
      </c>
      <c r="G52" s="48">
        <f t="shared" si="4"/>
        <v>0.15</v>
      </c>
      <c r="H52" s="308">
        <f t="shared" si="5"/>
        <v>0</v>
      </c>
    </row>
    <row r="53" spans="1:28" x14ac:dyDescent="0.25">
      <c r="B53" s="67">
        <v>50</v>
      </c>
      <c r="C53" s="52">
        <f t="shared" si="0"/>
        <v>7.0000000000000007E-2</v>
      </c>
      <c r="D53" s="52">
        <f t="shared" si="1"/>
        <v>7.0000000000000007E-2</v>
      </c>
      <c r="E53" s="48">
        <f t="shared" si="2"/>
        <v>0</v>
      </c>
      <c r="F53" s="48">
        <f t="shared" si="3"/>
        <v>0</v>
      </c>
      <c r="G53" s="48">
        <f t="shared" si="4"/>
        <v>7.0000000000000007E-2</v>
      </c>
      <c r="H53" s="308">
        <f t="shared" si="5"/>
        <v>0</v>
      </c>
    </row>
    <row r="55" spans="1:28" s="26" customFormat="1" x14ac:dyDescent="0.25">
      <c r="F55" s="26" t="s">
        <v>85</v>
      </c>
      <c r="G55" s="29">
        <f>IF(H4=0,0,100*H55/H4)</f>
        <v>0</v>
      </c>
      <c r="H55" s="29">
        <f>SQRT(SUMSQ(H5:H53))</f>
        <v>0</v>
      </c>
      <c r="I55" s="26" t="s">
        <v>52</v>
      </c>
      <c r="J55" s="29"/>
    </row>
    <row r="56" spans="1:28" s="26" customFormat="1" x14ac:dyDescent="0.25">
      <c r="F56" s="26" t="s">
        <v>86</v>
      </c>
      <c r="G56" s="29">
        <f>SQRT(SUMSQ(G4:G53))</f>
        <v>100.06557499959715</v>
      </c>
      <c r="H56" s="29">
        <f>SQRT(SUMSQ(H4:H53))</f>
        <v>0</v>
      </c>
      <c r="I56" s="26" t="s">
        <v>54</v>
      </c>
    </row>
    <row r="57" spans="1:28" s="26" customFormat="1" x14ac:dyDescent="0.25">
      <c r="G57" s="26" t="s">
        <v>87</v>
      </c>
      <c r="H57" s="26" t="s">
        <v>13</v>
      </c>
    </row>
    <row r="59" spans="1:28" ht="14.4" x14ac:dyDescent="0.3">
      <c r="A59" s="66" t="s">
        <v>63</v>
      </c>
      <c r="C59"/>
      <c r="D59"/>
      <c r="E59"/>
      <c r="F59"/>
      <c r="G59"/>
      <c r="H59"/>
      <c r="I59"/>
      <c r="J59"/>
      <c r="K59"/>
      <c r="L59"/>
      <c r="M59"/>
      <c r="N59"/>
      <c r="O59"/>
      <c r="P59"/>
      <c r="Q59"/>
      <c r="R59"/>
      <c r="S59"/>
      <c r="T59"/>
      <c r="U59"/>
    </row>
    <row r="60" spans="1:28" ht="14.4" x14ac:dyDescent="0.3">
      <c r="C60" s="1" t="s">
        <v>478</v>
      </c>
      <c r="D60" s="7">
        <f>100/D62</f>
        <v>1000</v>
      </c>
      <c r="E60" s="7">
        <f t="shared" ref="E60:U60" si="6">100/E62</f>
        <v>200</v>
      </c>
      <c r="F60" s="7">
        <f t="shared" si="6"/>
        <v>100</v>
      </c>
      <c r="G60" s="7">
        <f t="shared" si="6"/>
        <v>50</v>
      </c>
      <c r="H60" s="7">
        <f t="shared" si="6"/>
        <v>33.333333333333336</v>
      </c>
      <c r="I60" s="7">
        <f t="shared" si="6"/>
        <v>25</v>
      </c>
      <c r="J60" s="7">
        <f t="shared" si="6"/>
        <v>20</v>
      </c>
      <c r="K60" s="7">
        <f t="shared" si="6"/>
        <v>16.666666666666668</v>
      </c>
      <c r="L60" s="7">
        <f t="shared" si="6"/>
        <v>14.285714285714286</v>
      </c>
      <c r="M60" s="7">
        <f t="shared" si="6"/>
        <v>12.5</v>
      </c>
      <c r="N60" s="7">
        <f t="shared" si="6"/>
        <v>10</v>
      </c>
      <c r="O60" s="7">
        <f t="shared" si="6"/>
        <v>8.3333333333333339</v>
      </c>
      <c r="P60" s="7">
        <f t="shared" si="6"/>
        <v>7.1428571428571432</v>
      </c>
      <c r="Q60" s="7">
        <f t="shared" si="6"/>
        <v>5.5555555555555554</v>
      </c>
      <c r="R60" s="7">
        <f t="shared" si="6"/>
        <v>4.7619047619047619</v>
      </c>
      <c r="S60" s="7">
        <f t="shared" si="6"/>
        <v>1</v>
      </c>
      <c r="T60" s="7">
        <f t="shared" si="6"/>
        <v>0.1</v>
      </c>
      <c r="U60" s="7">
        <f t="shared" si="6"/>
        <v>0.01</v>
      </c>
      <c r="W60" s="268" t="s">
        <v>1070</v>
      </c>
      <c r="X60" s="268" t="s">
        <v>1078</v>
      </c>
      <c r="Y60" s="268" t="s">
        <v>1069</v>
      </c>
    </row>
    <row r="61" spans="1:28" ht="14.4" x14ac:dyDescent="0.3">
      <c r="C61" s="1" t="s">
        <v>64</v>
      </c>
      <c r="D61">
        <v>0</v>
      </c>
      <c r="E61">
        <v>1</v>
      </c>
      <c r="F61">
        <v>2</v>
      </c>
      <c r="G61">
        <v>3</v>
      </c>
      <c r="H61">
        <v>4</v>
      </c>
      <c r="I61">
        <v>5</v>
      </c>
      <c r="J61">
        <v>6</v>
      </c>
      <c r="K61">
        <v>7</v>
      </c>
      <c r="L61">
        <v>8</v>
      </c>
      <c r="M61">
        <v>9</v>
      </c>
      <c r="N61">
        <v>10</v>
      </c>
      <c r="O61">
        <v>11</v>
      </c>
      <c r="P61">
        <v>12</v>
      </c>
      <c r="Q61">
        <v>13</v>
      </c>
      <c r="R61">
        <v>14</v>
      </c>
      <c r="S61">
        <v>15</v>
      </c>
      <c r="T61">
        <v>16</v>
      </c>
      <c r="U61">
        <v>17</v>
      </c>
      <c r="W61" s="268" t="s">
        <v>686</v>
      </c>
      <c r="X61" s="268" t="s">
        <v>1079</v>
      </c>
      <c r="Y61" s="268" t="s">
        <v>686</v>
      </c>
    </row>
    <row r="62" spans="1:28" ht="14.4" x14ac:dyDescent="0.3">
      <c r="A62" s="26" t="s">
        <v>65</v>
      </c>
      <c r="B62" s="54"/>
      <c r="C62" s="216" t="s">
        <v>1</v>
      </c>
      <c r="D62" s="296">
        <v>0.1</v>
      </c>
      <c r="E62" s="296">
        <v>0.5</v>
      </c>
      <c r="F62" s="296">
        <v>1</v>
      </c>
      <c r="G62" s="296">
        <v>2</v>
      </c>
      <c r="H62" s="296">
        <v>3</v>
      </c>
      <c r="I62" s="296">
        <v>4</v>
      </c>
      <c r="J62" s="296">
        <v>5</v>
      </c>
      <c r="K62" s="296">
        <v>6</v>
      </c>
      <c r="L62" s="296">
        <v>7</v>
      </c>
      <c r="M62" s="296">
        <v>8</v>
      </c>
      <c r="N62" s="296">
        <v>10</v>
      </c>
      <c r="O62" s="296">
        <v>12</v>
      </c>
      <c r="P62" s="296">
        <v>14</v>
      </c>
      <c r="Q62" s="296">
        <v>18</v>
      </c>
      <c r="R62" s="296">
        <v>21</v>
      </c>
      <c r="S62" s="296">
        <v>100</v>
      </c>
      <c r="T62" s="296">
        <v>1000</v>
      </c>
      <c r="U62" s="296">
        <v>10000</v>
      </c>
      <c r="V62" s="303"/>
      <c r="W62" s="377" t="s">
        <v>1077</v>
      </c>
      <c r="X62" s="377" t="s">
        <v>1080</v>
      </c>
      <c r="Y62" s="303"/>
      <c r="Z62" s="303"/>
      <c r="AA62" s="303"/>
      <c r="AB62" s="303"/>
    </row>
    <row r="63" spans="1:28" ht="14.4" x14ac:dyDescent="0.3">
      <c r="A63" s="31"/>
      <c r="B63" s="26"/>
      <c r="C63" s="1" t="s">
        <v>64</v>
      </c>
      <c r="D63">
        <v>0</v>
      </c>
      <c r="E63">
        <v>1</v>
      </c>
      <c r="F63">
        <v>2</v>
      </c>
      <c r="G63">
        <v>3</v>
      </c>
      <c r="H63">
        <v>4</v>
      </c>
      <c r="I63">
        <v>5</v>
      </c>
      <c r="J63">
        <v>6</v>
      </c>
      <c r="K63">
        <v>7</v>
      </c>
      <c r="L63">
        <v>8</v>
      </c>
      <c r="M63">
        <v>9</v>
      </c>
      <c r="N63">
        <v>10</v>
      </c>
      <c r="O63">
        <v>11</v>
      </c>
      <c r="P63">
        <v>12</v>
      </c>
      <c r="Q63">
        <v>13</v>
      </c>
      <c r="R63">
        <v>14</v>
      </c>
      <c r="S63">
        <v>15</v>
      </c>
      <c r="T63">
        <v>16</v>
      </c>
      <c r="U63">
        <v>17</v>
      </c>
      <c r="V63" s="304"/>
      <c r="W63" s="305"/>
      <c r="X63" s="305"/>
      <c r="Y63" s="304"/>
      <c r="Z63" s="304"/>
      <c r="AA63" s="304"/>
      <c r="AB63" s="304"/>
    </row>
    <row r="64" spans="1:28" ht="14.4" x14ac:dyDescent="0.3">
      <c r="A64" s="43">
        <v>2</v>
      </c>
      <c r="B64" s="43"/>
      <c r="C64"/>
      <c r="D64" s="504">
        <v>0.72</v>
      </c>
      <c r="E64" s="504">
        <v>0.72</v>
      </c>
      <c r="F64" s="504">
        <v>0.72</v>
      </c>
      <c r="G64" s="504">
        <v>0.72</v>
      </c>
      <c r="H64" s="504">
        <v>0.72</v>
      </c>
      <c r="I64" s="504">
        <v>0.72</v>
      </c>
      <c r="J64" s="504">
        <v>0.72</v>
      </c>
      <c r="K64" s="504">
        <v>0.72</v>
      </c>
      <c r="L64" s="504">
        <v>0.72</v>
      </c>
      <c r="M64" s="504">
        <v>0.72</v>
      </c>
      <c r="N64" s="504">
        <v>0.72</v>
      </c>
      <c r="O64" s="504">
        <v>0.72</v>
      </c>
      <c r="P64" s="504">
        <v>0.72</v>
      </c>
      <c r="Q64" s="504">
        <v>0.72</v>
      </c>
      <c r="R64" s="504">
        <v>0.72</v>
      </c>
      <c r="S64" s="504">
        <v>0.72</v>
      </c>
      <c r="T64" s="504">
        <v>0.72</v>
      </c>
      <c r="U64" s="504">
        <v>0.72</v>
      </c>
      <c r="V64" s="307"/>
      <c r="W64" s="504">
        <v>0.72</v>
      </c>
      <c r="X64" s="306"/>
      <c r="Y64" s="318">
        <v>0.34500000000000003</v>
      </c>
      <c r="Z64" s="306"/>
      <c r="AA64" s="306"/>
      <c r="AB64" s="306"/>
    </row>
    <row r="65" spans="1:28" ht="14.4" x14ac:dyDescent="0.3">
      <c r="A65" s="43">
        <v>3</v>
      </c>
      <c r="B65" s="43"/>
      <c r="C65"/>
      <c r="D65" s="504">
        <v>0.62</v>
      </c>
      <c r="E65" s="504">
        <v>0.62</v>
      </c>
      <c r="F65" s="504">
        <v>0.62</v>
      </c>
      <c r="G65" s="504">
        <v>0.62</v>
      </c>
      <c r="H65" s="504">
        <v>0.62</v>
      </c>
      <c r="I65" s="504">
        <v>0.62</v>
      </c>
      <c r="J65" s="504">
        <v>0.62</v>
      </c>
      <c r="K65" s="504">
        <v>0.62</v>
      </c>
      <c r="L65" s="504">
        <v>0.62</v>
      </c>
      <c r="M65" s="504">
        <v>0.62</v>
      </c>
      <c r="N65" s="504">
        <v>0.62</v>
      </c>
      <c r="O65" s="504">
        <v>0.62</v>
      </c>
      <c r="P65" s="504">
        <v>0.62</v>
      </c>
      <c r="Q65" s="504">
        <v>0.62</v>
      </c>
      <c r="R65" s="504">
        <v>0.62</v>
      </c>
      <c r="S65" s="504">
        <v>0.62</v>
      </c>
      <c r="T65" s="504">
        <v>0.62</v>
      </c>
      <c r="U65" s="504">
        <v>0.62</v>
      </c>
      <c r="V65" s="303"/>
      <c r="W65" s="504">
        <v>0.62</v>
      </c>
      <c r="X65" s="303"/>
      <c r="Y65" s="318">
        <v>0.36749999999999999</v>
      </c>
      <c r="Z65" s="303"/>
      <c r="AA65" s="303"/>
      <c r="AB65" s="303"/>
    </row>
    <row r="66" spans="1:28" ht="14.4" x14ac:dyDescent="0.3">
      <c r="A66" s="43">
        <v>4</v>
      </c>
      <c r="B66" s="43"/>
      <c r="C66"/>
      <c r="D66" s="504">
        <v>0.5</v>
      </c>
      <c r="E66" s="504">
        <v>0.5</v>
      </c>
      <c r="F66" s="504">
        <v>0.5</v>
      </c>
      <c r="G66" s="504">
        <v>0.5</v>
      </c>
      <c r="H66" s="504">
        <v>0.5</v>
      </c>
      <c r="I66" s="504">
        <v>0.5</v>
      </c>
      <c r="J66" s="504">
        <v>0.5</v>
      </c>
      <c r="K66" s="504">
        <v>0.5</v>
      </c>
      <c r="L66" s="504">
        <v>0.5</v>
      </c>
      <c r="M66" s="504">
        <v>0.5</v>
      </c>
      <c r="N66" s="504">
        <v>0.5</v>
      </c>
      <c r="O66" s="504">
        <v>0.5</v>
      </c>
      <c r="P66" s="504">
        <v>0.5</v>
      </c>
      <c r="Q66" s="504">
        <v>0.5</v>
      </c>
      <c r="R66" s="504">
        <v>0.5</v>
      </c>
      <c r="S66" s="504">
        <v>0.5</v>
      </c>
      <c r="T66" s="504">
        <v>0.5</v>
      </c>
      <c r="U66" s="504">
        <v>0.5</v>
      </c>
      <c r="V66" s="303"/>
      <c r="W66" s="504">
        <v>0.5</v>
      </c>
      <c r="X66" s="303"/>
      <c r="Y66" s="318">
        <v>0.22499999999999998</v>
      </c>
      <c r="Z66" s="303"/>
      <c r="AA66" s="303"/>
      <c r="AB66" s="303"/>
    </row>
    <row r="67" spans="1:28" ht="14.4" x14ac:dyDescent="0.3">
      <c r="A67" s="43">
        <v>5</v>
      </c>
      <c r="B67" s="43"/>
      <c r="C67"/>
      <c r="D67" s="318">
        <v>2.54</v>
      </c>
      <c r="E67" s="318">
        <v>2.54</v>
      </c>
      <c r="F67" s="318">
        <v>2.54</v>
      </c>
      <c r="G67" s="318">
        <v>2.54</v>
      </c>
      <c r="H67" s="318">
        <v>2.54</v>
      </c>
      <c r="I67" s="318">
        <v>2.54</v>
      </c>
      <c r="J67" s="318">
        <v>2.54</v>
      </c>
      <c r="K67" s="318">
        <v>2.54</v>
      </c>
      <c r="L67" s="318">
        <v>2.54</v>
      </c>
      <c r="M67" s="318">
        <v>2.54</v>
      </c>
      <c r="N67" s="318">
        <v>2.54</v>
      </c>
      <c r="O67" s="318">
        <v>2.54</v>
      </c>
      <c r="P67" s="318">
        <v>2.54</v>
      </c>
      <c r="Q67" s="318">
        <v>2.54</v>
      </c>
      <c r="R67" s="318">
        <v>2.54</v>
      </c>
      <c r="S67" s="318">
        <v>2.54</v>
      </c>
      <c r="T67" s="318">
        <v>2.54</v>
      </c>
      <c r="U67" s="318">
        <v>2.54</v>
      </c>
      <c r="V67" s="307"/>
      <c r="W67" s="318">
        <v>2.74</v>
      </c>
      <c r="X67" s="318">
        <v>2.54</v>
      </c>
      <c r="Y67" s="318">
        <v>0.74250000000000005</v>
      </c>
      <c r="Z67" s="306"/>
      <c r="AA67" s="306"/>
      <c r="AB67" s="306"/>
    </row>
    <row r="68" spans="1:28" ht="14.4" x14ac:dyDescent="0.3">
      <c r="A68" s="43">
        <v>6</v>
      </c>
      <c r="B68" s="43"/>
      <c r="C68"/>
      <c r="D68" s="318">
        <v>0.2</v>
      </c>
      <c r="E68" s="318">
        <v>0.2</v>
      </c>
      <c r="F68" s="318">
        <v>0.2</v>
      </c>
      <c r="G68" s="318">
        <v>0.2</v>
      </c>
      <c r="H68" s="318">
        <v>0.2</v>
      </c>
      <c r="I68" s="318">
        <v>0.2</v>
      </c>
      <c r="J68" s="318">
        <v>0.2</v>
      </c>
      <c r="K68" s="318">
        <v>0.2</v>
      </c>
      <c r="L68" s="318">
        <v>0.2</v>
      </c>
      <c r="M68" s="318">
        <v>0.2</v>
      </c>
      <c r="N68" s="318">
        <v>0.2</v>
      </c>
      <c r="O68" s="318">
        <v>0.2</v>
      </c>
      <c r="P68" s="318">
        <v>0.2</v>
      </c>
      <c r="Q68" s="318">
        <v>0.2</v>
      </c>
      <c r="R68" s="318">
        <v>0.2</v>
      </c>
      <c r="S68" s="318">
        <v>0.2</v>
      </c>
      <c r="T68" s="318">
        <v>0.2</v>
      </c>
      <c r="U68" s="318">
        <v>0.2</v>
      </c>
      <c r="V68" s="303"/>
      <c r="W68" s="318">
        <v>0.2</v>
      </c>
      <c r="X68" s="303"/>
      <c r="Y68" s="318">
        <v>0.20250000000000001</v>
      </c>
      <c r="Z68" s="303"/>
      <c r="AA68" s="303"/>
      <c r="AB68" s="303"/>
    </row>
    <row r="69" spans="1:28" ht="14.4" x14ac:dyDescent="0.3">
      <c r="A69" s="43">
        <v>7</v>
      </c>
      <c r="B69" s="43"/>
      <c r="C69"/>
      <c r="D69" s="318">
        <v>0.47</v>
      </c>
      <c r="E69" s="318">
        <v>0.47</v>
      </c>
      <c r="F69" s="318">
        <v>0.47</v>
      </c>
      <c r="G69" s="318">
        <v>0.47</v>
      </c>
      <c r="H69" s="318">
        <v>0.47</v>
      </c>
      <c r="I69" s="318">
        <v>0.47</v>
      </c>
      <c r="J69" s="318">
        <v>0.47</v>
      </c>
      <c r="K69" s="318">
        <v>0.47</v>
      </c>
      <c r="L69" s="318">
        <v>0.47</v>
      </c>
      <c r="M69" s="318">
        <v>0.47</v>
      </c>
      <c r="N69" s="318">
        <v>0.47</v>
      </c>
      <c r="O69" s="318">
        <v>0.47</v>
      </c>
      <c r="P69" s="318">
        <v>0.47</v>
      </c>
      <c r="Q69" s="318">
        <v>0.47</v>
      </c>
      <c r="R69" s="318">
        <v>0.47</v>
      </c>
      <c r="S69" s="318">
        <v>0.47</v>
      </c>
      <c r="T69" s="318">
        <v>0.47</v>
      </c>
      <c r="U69" s="318">
        <v>0.47</v>
      </c>
      <c r="V69" s="303"/>
      <c r="W69" s="318">
        <v>0.47</v>
      </c>
      <c r="X69" s="303"/>
      <c r="Y69" s="318">
        <v>1.365</v>
      </c>
      <c r="Z69" s="303"/>
      <c r="AA69" s="303"/>
      <c r="AB69" s="303"/>
    </row>
    <row r="70" spans="1:28" ht="14.4" x14ac:dyDescent="0.3">
      <c r="A70" s="43">
        <v>8</v>
      </c>
      <c r="B70" s="43"/>
      <c r="C70"/>
      <c r="D70" s="504">
        <v>0.15</v>
      </c>
      <c r="E70" s="504">
        <v>0.15</v>
      </c>
      <c r="F70" s="504">
        <v>0.15</v>
      </c>
      <c r="G70" s="504">
        <v>0.15</v>
      </c>
      <c r="H70" s="504">
        <v>0.15</v>
      </c>
      <c r="I70" s="504">
        <v>0.15</v>
      </c>
      <c r="J70" s="504">
        <v>0.15</v>
      </c>
      <c r="K70" s="504">
        <v>0.15</v>
      </c>
      <c r="L70" s="504">
        <v>0.15</v>
      </c>
      <c r="M70" s="504">
        <v>0.15</v>
      </c>
      <c r="N70" s="504">
        <v>0.15</v>
      </c>
      <c r="O70" s="504">
        <v>0.15</v>
      </c>
      <c r="P70" s="504">
        <v>0.15</v>
      </c>
      <c r="Q70" s="504">
        <v>0.15</v>
      </c>
      <c r="R70" s="504">
        <v>0.15</v>
      </c>
      <c r="S70" s="504">
        <v>0.15</v>
      </c>
      <c r="T70" s="504">
        <v>0.15</v>
      </c>
      <c r="U70" s="504">
        <v>0.15</v>
      </c>
      <c r="V70" s="303"/>
      <c r="W70" s="504">
        <v>0.15</v>
      </c>
      <c r="X70" s="303"/>
      <c r="Y70" s="318">
        <v>0.22499999999999998</v>
      </c>
      <c r="Z70" s="303"/>
      <c r="AA70" s="303"/>
      <c r="AB70" s="303"/>
    </row>
    <row r="71" spans="1:28" ht="14.4" x14ac:dyDescent="0.3">
      <c r="A71" s="43">
        <v>9</v>
      </c>
      <c r="B71" s="43"/>
      <c r="C71"/>
      <c r="D71" s="504">
        <v>0.45</v>
      </c>
      <c r="E71" s="504">
        <v>0.45</v>
      </c>
      <c r="F71" s="504">
        <v>0.45</v>
      </c>
      <c r="G71" s="504">
        <v>0.45</v>
      </c>
      <c r="H71" s="504">
        <v>0.45</v>
      </c>
      <c r="I71" s="504">
        <v>0.45</v>
      </c>
      <c r="J71" s="504">
        <v>0.45</v>
      </c>
      <c r="K71" s="504">
        <v>0.45</v>
      </c>
      <c r="L71" s="504">
        <v>0.45</v>
      </c>
      <c r="M71" s="504">
        <v>0.45</v>
      </c>
      <c r="N71" s="504">
        <v>0.45</v>
      </c>
      <c r="O71" s="504">
        <v>0.45</v>
      </c>
      <c r="P71" s="504">
        <v>0.45</v>
      </c>
      <c r="Q71" s="504">
        <v>0.45</v>
      </c>
      <c r="R71" s="504">
        <v>0.45</v>
      </c>
      <c r="S71" s="504">
        <v>0.45</v>
      </c>
      <c r="T71" s="504">
        <v>0.45</v>
      </c>
      <c r="U71" s="504">
        <v>0.45</v>
      </c>
      <c r="V71" s="303"/>
      <c r="W71" s="504">
        <v>0.45</v>
      </c>
      <c r="X71" s="303"/>
      <c r="Y71" s="318">
        <v>0.315</v>
      </c>
      <c r="Z71" s="303"/>
      <c r="AA71" s="303"/>
      <c r="AB71" s="303"/>
    </row>
    <row r="72" spans="1:28" ht="14.4" x14ac:dyDescent="0.3">
      <c r="A72" s="43">
        <v>10</v>
      </c>
      <c r="B72" s="43"/>
      <c r="C72"/>
      <c r="D72" s="504">
        <v>0.18</v>
      </c>
      <c r="E72" s="504">
        <v>0.18</v>
      </c>
      <c r="F72" s="504">
        <v>0.18</v>
      </c>
      <c r="G72" s="504">
        <v>0.18</v>
      </c>
      <c r="H72" s="504">
        <v>0.18</v>
      </c>
      <c r="I72" s="504">
        <v>0.18</v>
      </c>
      <c r="J72" s="504">
        <v>0.18</v>
      </c>
      <c r="K72" s="504">
        <v>0.18</v>
      </c>
      <c r="L72" s="504">
        <v>0.18</v>
      </c>
      <c r="M72" s="504">
        <v>0.18</v>
      </c>
      <c r="N72" s="504">
        <v>0.18</v>
      </c>
      <c r="O72" s="504">
        <v>0.18</v>
      </c>
      <c r="P72" s="504">
        <v>0.18</v>
      </c>
      <c r="Q72" s="504">
        <v>0.18</v>
      </c>
      <c r="R72" s="504">
        <v>0.18</v>
      </c>
      <c r="S72" s="504">
        <v>0.18</v>
      </c>
      <c r="T72" s="504">
        <v>0.18</v>
      </c>
      <c r="U72" s="504">
        <v>0.18</v>
      </c>
      <c r="V72" s="303"/>
      <c r="W72" s="504">
        <v>0.18</v>
      </c>
      <c r="X72" s="303"/>
      <c r="Y72" s="318">
        <v>0.42749999999999999</v>
      </c>
      <c r="Z72" s="303"/>
      <c r="AA72" s="303"/>
      <c r="AB72" s="303"/>
    </row>
    <row r="73" spans="1:28" ht="14.4" x14ac:dyDescent="0.3">
      <c r="A73" s="43">
        <v>11</v>
      </c>
      <c r="B73" s="43"/>
      <c r="C73"/>
      <c r="D73" s="504">
        <v>0.28000000000000003</v>
      </c>
      <c r="E73" s="504">
        <v>0.28000000000000003</v>
      </c>
      <c r="F73" s="504">
        <v>0.28000000000000003</v>
      </c>
      <c r="G73" s="504">
        <v>0.28000000000000003</v>
      </c>
      <c r="H73" s="504">
        <v>0.28000000000000003</v>
      </c>
      <c r="I73" s="504">
        <v>0.28000000000000003</v>
      </c>
      <c r="J73" s="504">
        <v>0.28000000000000003</v>
      </c>
      <c r="K73" s="504">
        <v>0.28000000000000003</v>
      </c>
      <c r="L73" s="504">
        <v>0.28000000000000003</v>
      </c>
      <c r="M73" s="504">
        <v>0.28000000000000003</v>
      </c>
      <c r="N73" s="504">
        <v>0.28000000000000003</v>
      </c>
      <c r="O73" s="504">
        <v>0.28000000000000003</v>
      </c>
      <c r="P73" s="504">
        <v>0.28000000000000003</v>
      </c>
      <c r="Q73" s="504">
        <v>0.28000000000000003</v>
      </c>
      <c r="R73" s="504">
        <v>0.28000000000000003</v>
      </c>
      <c r="S73" s="504">
        <v>0.28000000000000003</v>
      </c>
      <c r="T73" s="504">
        <v>0.28000000000000003</v>
      </c>
      <c r="U73" s="504">
        <v>0.28000000000000003</v>
      </c>
      <c r="V73" s="303"/>
      <c r="W73" s="504">
        <v>0.28000000000000003</v>
      </c>
      <c r="X73" s="303"/>
      <c r="Y73" s="318">
        <v>0.91500000000000004</v>
      </c>
      <c r="Z73" s="303"/>
      <c r="AA73" s="303"/>
      <c r="AB73" s="303"/>
    </row>
    <row r="74" spans="1:28" ht="14.4" x14ac:dyDescent="0.3">
      <c r="A74" s="43">
        <v>12</v>
      </c>
      <c r="B74" s="43"/>
      <c r="C74"/>
      <c r="D74" s="504">
        <v>0.26</v>
      </c>
      <c r="E74" s="504">
        <v>0.26</v>
      </c>
      <c r="F74" s="504">
        <v>0.26</v>
      </c>
      <c r="G74" s="504">
        <v>0.26</v>
      </c>
      <c r="H74" s="504">
        <v>0.26</v>
      </c>
      <c r="I74" s="504">
        <v>0.26</v>
      </c>
      <c r="J74" s="504">
        <v>0.26</v>
      </c>
      <c r="K74" s="504">
        <v>0.26</v>
      </c>
      <c r="L74" s="504">
        <v>0.26</v>
      </c>
      <c r="M74" s="504">
        <v>0.26</v>
      </c>
      <c r="N74" s="504">
        <v>0.26</v>
      </c>
      <c r="O74" s="504">
        <v>0.26</v>
      </c>
      <c r="P74" s="504">
        <v>0.26</v>
      </c>
      <c r="Q74" s="504">
        <v>0.26</v>
      </c>
      <c r="R74" s="504">
        <v>0.26</v>
      </c>
      <c r="S74" s="504">
        <v>0.26</v>
      </c>
      <c r="T74" s="504">
        <v>0.26</v>
      </c>
      <c r="U74" s="504">
        <v>0.26</v>
      </c>
      <c r="V74" s="303"/>
      <c r="W74" s="504">
        <v>0.26</v>
      </c>
      <c r="X74" s="303"/>
      <c r="Y74" s="318">
        <v>0.54</v>
      </c>
      <c r="Z74" s="303"/>
      <c r="AA74" s="303"/>
      <c r="AB74" s="303"/>
    </row>
    <row r="75" spans="1:28" ht="14.4" x14ac:dyDescent="0.3">
      <c r="A75" s="43">
        <v>13</v>
      </c>
      <c r="B75" s="43"/>
      <c r="C75"/>
      <c r="D75" s="504">
        <v>0.44</v>
      </c>
      <c r="E75" s="504">
        <v>0.44</v>
      </c>
      <c r="F75" s="504">
        <v>0.44</v>
      </c>
      <c r="G75" s="504">
        <v>0.44</v>
      </c>
      <c r="H75" s="504">
        <v>0.44</v>
      </c>
      <c r="I75" s="504">
        <v>0.44</v>
      </c>
      <c r="J75" s="504">
        <v>0.44</v>
      </c>
      <c r="K75" s="504">
        <v>0.44</v>
      </c>
      <c r="L75" s="504">
        <v>0.44</v>
      </c>
      <c r="M75" s="504">
        <v>0.44</v>
      </c>
      <c r="N75" s="504">
        <v>0.44</v>
      </c>
      <c r="O75" s="504">
        <v>0.44</v>
      </c>
      <c r="P75" s="504">
        <v>0.44</v>
      </c>
      <c r="Q75" s="504">
        <v>0.44</v>
      </c>
      <c r="R75" s="504">
        <v>0.44</v>
      </c>
      <c r="S75" s="504">
        <v>0.44</v>
      </c>
      <c r="T75" s="504">
        <v>0.44</v>
      </c>
      <c r="U75" s="504">
        <v>0.44</v>
      </c>
      <c r="V75" s="307"/>
      <c r="W75" s="504">
        <v>0.44</v>
      </c>
      <c r="X75" s="306"/>
      <c r="Y75" s="318">
        <v>0.65249999999999997</v>
      </c>
      <c r="Z75" s="306"/>
      <c r="AA75" s="306"/>
      <c r="AB75" s="306"/>
    </row>
    <row r="76" spans="1:28" ht="14.4" x14ac:dyDescent="0.3">
      <c r="A76" s="43">
        <v>14</v>
      </c>
      <c r="B76" s="43"/>
      <c r="C76"/>
      <c r="D76" s="504">
        <v>0.34</v>
      </c>
      <c r="E76" s="504">
        <v>0.34</v>
      </c>
      <c r="F76" s="504">
        <v>0.34</v>
      </c>
      <c r="G76" s="504">
        <v>0.34</v>
      </c>
      <c r="H76" s="504">
        <v>0.34</v>
      </c>
      <c r="I76" s="504">
        <v>0.34</v>
      </c>
      <c r="J76" s="504">
        <v>0.34</v>
      </c>
      <c r="K76" s="504">
        <v>0.34</v>
      </c>
      <c r="L76" s="504">
        <v>0.34</v>
      </c>
      <c r="M76" s="504">
        <v>0.34</v>
      </c>
      <c r="N76" s="504">
        <v>0.34</v>
      </c>
      <c r="O76" s="504">
        <v>0.34</v>
      </c>
      <c r="P76" s="504">
        <v>0.34</v>
      </c>
      <c r="Q76" s="504">
        <v>0.34</v>
      </c>
      <c r="R76" s="504">
        <v>0.34</v>
      </c>
      <c r="S76" s="504">
        <v>0.34</v>
      </c>
      <c r="T76" s="504">
        <v>0.34</v>
      </c>
      <c r="U76" s="504">
        <v>0.34</v>
      </c>
      <c r="V76" s="303"/>
      <c r="W76" s="504">
        <v>0.34</v>
      </c>
      <c r="X76" s="303"/>
      <c r="Y76" s="318">
        <v>0.63</v>
      </c>
      <c r="Z76" s="303"/>
      <c r="AA76" s="303"/>
      <c r="AB76" s="303"/>
    </row>
    <row r="77" spans="1:28" ht="14.4" x14ac:dyDescent="0.3">
      <c r="A77" s="43">
        <v>15</v>
      </c>
      <c r="B77" s="43"/>
      <c r="C77"/>
      <c r="D77" s="504">
        <v>0.28000000000000003</v>
      </c>
      <c r="E77" s="504">
        <v>0.28000000000000003</v>
      </c>
      <c r="F77" s="504">
        <v>0.28000000000000003</v>
      </c>
      <c r="G77" s="504">
        <v>0.28000000000000003</v>
      </c>
      <c r="H77" s="504">
        <v>0.28000000000000003</v>
      </c>
      <c r="I77" s="504">
        <v>0.28000000000000003</v>
      </c>
      <c r="J77" s="504">
        <v>0.28000000000000003</v>
      </c>
      <c r="K77" s="504">
        <v>0.28000000000000003</v>
      </c>
      <c r="L77" s="504">
        <v>0.28000000000000003</v>
      </c>
      <c r="M77" s="504">
        <v>0.28000000000000003</v>
      </c>
      <c r="N77" s="504">
        <v>0.28000000000000003</v>
      </c>
      <c r="O77" s="504">
        <v>0.28000000000000003</v>
      </c>
      <c r="P77" s="504">
        <v>0.28000000000000003</v>
      </c>
      <c r="Q77" s="504">
        <v>0.28000000000000003</v>
      </c>
      <c r="R77" s="504">
        <v>0.28000000000000003</v>
      </c>
      <c r="S77" s="504">
        <v>0.28000000000000003</v>
      </c>
      <c r="T77" s="504">
        <v>0.28000000000000003</v>
      </c>
      <c r="U77" s="504">
        <v>0.28000000000000003</v>
      </c>
      <c r="V77" s="303"/>
      <c r="W77" s="504">
        <v>0.28000000000000003</v>
      </c>
      <c r="X77" s="303"/>
      <c r="Y77" s="318">
        <v>0.65249999999999997</v>
      </c>
      <c r="Z77" s="303"/>
      <c r="AA77" s="303"/>
      <c r="AB77" s="303"/>
    </row>
    <row r="78" spans="1:28" ht="14.4" x14ac:dyDescent="0.3">
      <c r="A78" s="43">
        <v>16</v>
      </c>
      <c r="B78" s="43"/>
      <c r="C78"/>
      <c r="D78" s="504">
        <v>0.26</v>
      </c>
      <c r="E78" s="504">
        <v>0.26</v>
      </c>
      <c r="F78" s="504">
        <v>0.26</v>
      </c>
      <c r="G78" s="504">
        <v>0.26</v>
      </c>
      <c r="H78" s="504">
        <v>0.26</v>
      </c>
      <c r="I78" s="504">
        <v>0.26</v>
      </c>
      <c r="J78" s="504">
        <v>0.26</v>
      </c>
      <c r="K78" s="504">
        <v>0.26</v>
      </c>
      <c r="L78" s="504">
        <v>0.26</v>
      </c>
      <c r="M78" s="504">
        <v>0.26</v>
      </c>
      <c r="N78" s="504">
        <v>0.26</v>
      </c>
      <c r="O78" s="504">
        <v>0.26</v>
      </c>
      <c r="P78" s="504">
        <v>0.26</v>
      </c>
      <c r="Q78" s="504">
        <v>0.26</v>
      </c>
      <c r="R78" s="504">
        <v>0.26</v>
      </c>
      <c r="S78" s="504">
        <v>0.26</v>
      </c>
      <c r="T78" s="504">
        <v>0.26</v>
      </c>
      <c r="U78" s="504">
        <v>0.26</v>
      </c>
      <c r="V78" s="303"/>
      <c r="W78" s="504">
        <v>0.26</v>
      </c>
      <c r="X78" s="303"/>
      <c r="Y78" s="318">
        <v>0.60000000000000009</v>
      </c>
      <c r="Z78" s="303"/>
      <c r="AA78" s="303"/>
      <c r="AB78" s="303"/>
    </row>
    <row r="79" spans="1:28" ht="14.4" x14ac:dyDescent="0.3">
      <c r="A79" s="43">
        <v>17</v>
      </c>
      <c r="B79" s="43"/>
      <c r="C79"/>
      <c r="D79" s="504">
        <v>0.28999999999999998</v>
      </c>
      <c r="E79" s="504">
        <v>0.28999999999999998</v>
      </c>
      <c r="F79" s="504">
        <v>0.28999999999999998</v>
      </c>
      <c r="G79" s="504">
        <v>0.28999999999999998</v>
      </c>
      <c r="H79" s="504">
        <v>0.28999999999999998</v>
      </c>
      <c r="I79" s="504">
        <v>0.28999999999999998</v>
      </c>
      <c r="J79" s="504">
        <v>0.28999999999999998</v>
      </c>
      <c r="K79" s="504">
        <v>0.28999999999999998</v>
      </c>
      <c r="L79" s="504">
        <v>0.28999999999999998</v>
      </c>
      <c r="M79" s="504">
        <v>0.28999999999999998</v>
      </c>
      <c r="N79" s="504">
        <v>0.28999999999999998</v>
      </c>
      <c r="O79" s="504">
        <v>0.28999999999999998</v>
      </c>
      <c r="P79" s="504">
        <v>0.28999999999999998</v>
      </c>
      <c r="Q79" s="504">
        <v>0.28999999999999998</v>
      </c>
      <c r="R79" s="504">
        <v>0.28999999999999998</v>
      </c>
      <c r="S79" s="504">
        <v>0.28999999999999998</v>
      </c>
      <c r="T79" s="504">
        <v>0.28999999999999998</v>
      </c>
      <c r="U79" s="504">
        <v>0.28999999999999998</v>
      </c>
      <c r="V79" s="303"/>
      <c r="W79" s="504">
        <v>0.28999999999999998</v>
      </c>
      <c r="X79" s="303"/>
      <c r="Y79" s="318">
        <v>0.96750000000000003</v>
      </c>
      <c r="Z79" s="303"/>
      <c r="AA79" s="303"/>
      <c r="AB79" s="303"/>
    </row>
    <row r="80" spans="1:28" ht="14.4" x14ac:dyDescent="0.3">
      <c r="A80" s="43">
        <v>18</v>
      </c>
      <c r="B80" s="43"/>
      <c r="C80"/>
      <c r="D80" s="504">
        <v>0.17</v>
      </c>
      <c r="E80" s="504">
        <v>0.17</v>
      </c>
      <c r="F80" s="504">
        <v>0.17</v>
      </c>
      <c r="G80" s="504">
        <v>0.17</v>
      </c>
      <c r="H80" s="504">
        <v>0.17</v>
      </c>
      <c r="I80" s="504">
        <v>0.17</v>
      </c>
      <c r="J80" s="504">
        <v>0.17</v>
      </c>
      <c r="K80" s="504">
        <v>0.17</v>
      </c>
      <c r="L80" s="504">
        <v>0.17</v>
      </c>
      <c r="M80" s="504">
        <v>0.17</v>
      </c>
      <c r="N80" s="504">
        <v>0.17</v>
      </c>
      <c r="O80" s="504">
        <v>0.17</v>
      </c>
      <c r="P80" s="504">
        <v>0.17</v>
      </c>
      <c r="Q80" s="504">
        <v>0.17</v>
      </c>
      <c r="R80" s="504">
        <v>0.17</v>
      </c>
      <c r="S80" s="504">
        <v>0.17</v>
      </c>
      <c r="T80" s="504">
        <v>0.17</v>
      </c>
      <c r="U80" s="504">
        <v>0.17</v>
      </c>
      <c r="V80" s="303"/>
      <c r="W80" s="504">
        <v>0.17</v>
      </c>
      <c r="X80" s="303"/>
      <c r="Y80" s="318">
        <v>0.54</v>
      </c>
      <c r="Z80" s="303"/>
      <c r="AA80" s="303"/>
      <c r="AB80" s="303"/>
    </row>
    <row r="81" spans="1:28" ht="14.4" x14ac:dyDescent="0.3">
      <c r="A81" s="43">
        <v>19</v>
      </c>
      <c r="B81" s="43"/>
      <c r="C81"/>
      <c r="D81" s="504">
        <v>0.31</v>
      </c>
      <c r="E81" s="504">
        <v>0.31</v>
      </c>
      <c r="F81" s="504">
        <v>0.31</v>
      </c>
      <c r="G81" s="504">
        <v>0.31</v>
      </c>
      <c r="H81" s="504">
        <v>0.31</v>
      </c>
      <c r="I81" s="504">
        <v>0.31</v>
      </c>
      <c r="J81" s="504">
        <v>0.31</v>
      </c>
      <c r="K81" s="504">
        <v>0.31</v>
      </c>
      <c r="L81" s="504">
        <v>0.31</v>
      </c>
      <c r="M81" s="504">
        <v>0.31</v>
      </c>
      <c r="N81" s="504">
        <v>0.31</v>
      </c>
      <c r="O81" s="504">
        <v>0.31</v>
      </c>
      <c r="P81" s="504">
        <v>0.31</v>
      </c>
      <c r="Q81" s="504">
        <v>0.31</v>
      </c>
      <c r="R81" s="504">
        <v>0.31</v>
      </c>
      <c r="S81" s="504">
        <v>0.31</v>
      </c>
      <c r="T81" s="504">
        <v>0.31</v>
      </c>
      <c r="U81" s="504">
        <v>0.31</v>
      </c>
      <c r="V81" s="303"/>
      <c r="W81" s="504">
        <v>0.31</v>
      </c>
      <c r="X81" s="303"/>
      <c r="Y81" s="318">
        <v>0.57000000000000006</v>
      </c>
      <c r="Z81" s="303"/>
      <c r="AA81" s="303"/>
      <c r="AB81" s="303"/>
    </row>
    <row r="82" spans="1:28" ht="14.4" x14ac:dyDescent="0.3">
      <c r="A82" s="43">
        <v>20</v>
      </c>
      <c r="B82" s="43"/>
      <c r="C82"/>
      <c r="D82" s="504">
        <v>0.28000000000000003</v>
      </c>
      <c r="E82" s="504">
        <v>0.28000000000000003</v>
      </c>
      <c r="F82" s="504">
        <v>0.28000000000000003</v>
      </c>
      <c r="G82" s="504">
        <v>0.28000000000000003</v>
      </c>
      <c r="H82" s="504">
        <v>0.28000000000000003</v>
      </c>
      <c r="I82" s="504">
        <v>0.28000000000000003</v>
      </c>
      <c r="J82" s="504">
        <v>0.28000000000000003</v>
      </c>
      <c r="K82" s="504">
        <v>0.28000000000000003</v>
      </c>
      <c r="L82" s="504">
        <v>0.28000000000000003</v>
      </c>
      <c r="M82" s="504">
        <v>0.28000000000000003</v>
      </c>
      <c r="N82" s="504">
        <v>0.28000000000000003</v>
      </c>
      <c r="O82" s="504">
        <v>0.28000000000000003</v>
      </c>
      <c r="P82" s="504">
        <v>0.28000000000000003</v>
      </c>
      <c r="Q82" s="504">
        <v>0.28000000000000003</v>
      </c>
      <c r="R82" s="504">
        <v>0.28000000000000003</v>
      </c>
      <c r="S82" s="504">
        <v>0.28000000000000003</v>
      </c>
      <c r="T82" s="504">
        <v>0.28000000000000003</v>
      </c>
      <c r="U82" s="504">
        <v>0.28000000000000003</v>
      </c>
      <c r="V82" s="303"/>
      <c r="W82" s="504">
        <v>0.28000000000000003</v>
      </c>
      <c r="X82" s="303"/>
      <c r="Y82" s="318">
        <v>0.6825</v>
      </c>
      <c r="Z82" s="303"/>
      <c r="AA82" s="303"/>
      <c r="AB82" s="303"/>
    </row>
    <row r="83" spans="1:28" ht="14.4" x14ac:dyDescent="0.3">
      <c r="A83" s="43">
        <v>21</v>
      </c>
      <c r="B83" s="43"/>
      <c r="C83"/>
      <c r="D83" s="504">
        <v>0.33</v>
      </c>
      <c r="E83" s="504">
        <v>0.33</v>
      </c>
      <c r="F83" s="504">
        <v>0.33</v>
      </c>
      <c r="G83" s="504">
        <v>0.33</v>
      </c>
      <c r="H83" s="504">
        <v>0.33</v>
      </c>
      <c r="I83" s="504">
        <v>0.33</v>
      </c>
      <c r="J83" s="504">
        <v>0.33</v>
      </c>
      <c r="K83" s="504">
        <v>0.33</v>
      </c>
      <c r="L83" s="504">
        <v>0.33</v>
      </c>
      <c r="M83" s="504">
        <v>0.33</v>
      </c>
      <c r="N83" s="504">
        <v>0.33</v>
      </c>
      <c r="O83" s="504">
        <v>0.33</v>
      </c>
      <c r="P83" s="504">
        <v>0.33</v>
      </c>
      <c r="Q83" s="504">
        <v>0.33</v>
      </c>
      <c r="R83" s="504">
        <v>0.33</v>
      </c>
      <c r="S83" s="504">
        <v>0.33</v>
      </c>
      <c r="T83" s="504">
        <v>0.33</v>
      </c>
      <c r="U83" s="504">
        <v>0.33</v>
      </c>
      <c r="V83" s="303"/>
      <c r="W83" s="504">
        <v>0.33</v>
      </c>
      <c r="X83" s="303"/>
      <c r="Y83" s="318">
        <v>0.60000000000000009</v>
      </c>
      <c r="Z83" s="303"/>
      <c r="AA83" s="303"/>
      <c r="AB83" s="303"/>
    </row>
    <row r="84" spans="1:28" ht="14.4" x14ac:dyDescent="0.3">
      <c r="A84" s="43">
        <v>22</v>
      </c>
      <c r="B84" s="43"/>
      <c r="C84"/>
      <c r="D84" s="504">
        <v>0.23</v>
      </c>
      <c r="E84" s="504">
        <v>0.23</v>
      </c>
      <c r="F84" s="504">
        <v>0.23</v>
      </c>
      <c r="G84" s="504">
        <v>0.23</v>
      </c>
      <c r="H84" s="504">
        <v>0.23</v>
      </c>
      <c r="I84" s="504">
        <v>0.23</v>
      </c>
      <c r="J84" s="504">
        <v>0.23</v>
      </c>
      <c r="K84" s="504">
        <v>0.23</v>
      </c>
      <c r="L84" s="504">
        <v>0.23</v>
      </c>
      <c r="M84" s="504">
        <v>0.23</v>
      </c>
      <c r="N84" s="504">
        <v>0.23</v>
      </c>
      <c r="O84" s="504">
        <v>0.23</v>
      </c>
      <c r="P84" s="504">
        <v>0.23</v>
      </c>
      <c r="Q84" s="504">
        <v>0.23</v>
      </c>
      <c r="R84" s="504">
        <v>0.23</v>
      </c>
      <c r="S84" s="504">
        <v>0.23</v>
      </c>
      <c r="T84" s="504">
        <v>0.23</v>
      </c>
      <c r="U84" s="504">
        <v>0.23</v>
      </c>
      <c r="V84" s="303"/>
      <c r="W84" s="504">
        <v>0.23</v>
      </c>
      <c r="X84" s="303"/>
      <c r="Y84" s="318">
        <v>0.60000000000000009</v>
      </c>
      <c r="Z84" s="303"/>
      <c r="AA84" s="303"/>
      <c r="AB84" s="303"/>
    </row>
    <row r="85" spans="1:28" ht="14.4" x14ac:dyDescent="0.3">
      <c r="A85" s="43">
        <v>23</v>
      </c>
      <c r="B85" s="43"/>
      <c r="C85"/>
      <c r="D85" s="504">
        <v>0.89</v>
      </c>
      <c r="E85" s="504">
        <v>0.89</v>
      </c>
      <c r="F85" s="504">
        <v>0.89</v>
      </c>
      <c r="G85" s="504">
        <v>0.89</v>
      </c>
      <c r="H85" s="504">
        <v>0.89</v>
      </c>
      <c r="I85" s="504">
        <v>0.89</v>
      </c>
      <c r="J85" s="504">
        <v>0.89</v>
      </c>
      <c r="K85" s="504">
        <v>0.89</v>
      </c>
      <c r="L85" s="504">
        <v>0.89</v>
      </c>
      <c r="M85" s="504">
        <v>0.89</v>
      </c>
      <c r="N85" s="504">
        <v>0.89</v>
      </c>
      <c r="O85" s="504">
        <v>0.89</v>
      </c>
      <c r="P85" s="504">
        <v>0.89</v>
      </c>
      <c r="Q85" s="504">
        <v>0.89</v>
      </c>
      <c r="R85" s="504">
        <v>0.89</v>
      </c>
      <c r="S85" s="504">
        <v>0.89</v>
      </c>
      <c r="T85" s="504">
        <v>0.89</v>
      </c>
      <c r="U85" s="504">
        <v>0.89</v>
      </c>
      <c r="V85" s="307"/>
      <c r="W85" s="504">
        <v>0.89</v>
      </c>
      <c r="X85" s="306"/>
      <c r="Y85" s="318">
        <v>0.99750000000000005</v>
      </c>
      <c r="Z85" s="306"/>
      <c r="AA85" s="306"/>
      <c r="AB85" s="306"/>
    </row>
    <row r="86" spans="1:28" ht="14.4" x14ac:dyDescent="0.3">
      <c r="A86" s="43">
        <v>24</v>
      </c>
      <c r="B86" s="43"/>
      <c r="C86"/>
      <c r="D86" s="504">
        <v>0.35</v>
      </c>
      <c r="E86" s="504">
        <v>0.35</v>
      </c>
      <c r="F86" s="504">
        <v>0.35</v>
      </c>
      <c r="G86" s="504">
        <v>0.35</v>
      </c>
      <c r="H86" s="504">
        <v>0.35</v>
      </c>
      <c r="I86" s="504">
        <v>0.35</v>
      </c>
      <c r="J86" s="504">
        <v>0.35</v>
      </c>
      <c r="K86" s="504">
        <v>0.35</v>
      </c>
      <c r="L86" s="504">
        <v>0.35</v>
      </c>
      <c r="M86" s="504">
        <v>0.35</v>
      </c>
      <c r="N86" s="504">
        <v>0.35</v>
      </c>
      <c r="O86" s="504">
        <v>0.35</v>
      </c>
      <c r="P86" s="504">
        <v>0.35</v>
      </c>
      <c r="Q86" s="504">
        <v>0.35</v>
      </c>
      <c r="R86" s="504">
        <v>0.35</v>
      </c>
      <c r="S86" s="504">
        <v>0.35</v>
      </c>
      <c r="T86" s="504">
        <v>0.35</v>
      </c>
      <c r="U86" s="504">
        <v>0.35</v>
      </c>
      <c r="V86" s="303"/>
      <c r="W86" s="504">
        <v>0.35</v>
      </c>
      <c r="X86" s="303"/>
      <c r="Y86" s="318">
        <v>0.60000000000000009</v>
      </c>
      <c r="Z86" s="303"/>
      <c r="AA86" s="303"/>
      <c r="AB86" s="303"/>
    </row>
    <row r="87" spans="1:28" ht="14.4" x14ac:dyDescent="0.3">
      <c r="A87" s="43">
        <v>25</v>
      </c>
      <c r="B87" s="43"/>
      <c r="C87"/>
      <c r="D87" s="504">
        <v>0.41</v>
      </c>
      <c r="E87" s="504">
        <v>0.41</v>
      </c>
      <c r="F87" s="504">
        <v>0.41</v>
      </c>
      <c r="G87" s="504">
        <v>0.41</v>
      </c>
      <c r="H87" s="504">
        <v>0.41</v>
      </c>
      <c r="I87" s="504">
        <v>0.41</v>
      </c>
      <c r="J87" s="504">
        <v>0.41</v>
      </c>
      <c r="K87" s="504">
        <v>0.41</v>
      </c>
      <c r="L87" s="504">
        <v>0.41</v>
      </c>
      <c r="M87" s="504">
        <v>0.41</v>
      </c>
      <c r="N87" s="504">
        <v>0.41</v>
      </c>
      <c r="O87" s="504">
        <v>0.41</v>
      </c>
      <c r="P87" s="504">
        <v>0.41</v>
      </c>
      <c r="Q87" s="504">
        <v>0.41</v>
      </c>
      <c r="R87" s="504">
        <v>0.41</v>
      </c>
      <c r="S87" s="504">
        <v>0.41</v>
      </c>
      <c r="T87" s="504">
        <v>0.41</v>
      </c>
      <c r="U87" s="504">
        <v>0.41</v>
      </c>
      <c r="V87" s="303"/>
      <c r="W87" s="504">
        <v>0.41</v>
      </c>
      <c r="X87" s="303"/>
      <c r="Y87" s="318">
        <v>0.71249999999999991</v>
      </c>
      <c r="Z87" s="303"/>
      <c r="AA87" s="303"/>
      <c r="AB87" s="303"/>
    </row>
    <row r="88" spans="1:28" ht="14.4" x14ac:dyDescent="0.3">
      <c r="A88" s="43">
        <v>26</v>
      </c>
      <c r="B88" s="43"/>
      <c r="C88"/>
      <c r="D88" s="504">
        <v>0.42</v>
      </c>
      <c r="E88" s="504">
        <v>0.42</v>
      </c>
      <c r="F88" s="504">
        <v>0.42</v>
      </c>
      <c r="G88" s="504">
        <v>0.42</v>
      </c>
      <c r="H88" s="504">
        <v>0.42</v>
      </c>
      <c r="I88" s="504">
        <v>0.42</v>
      </c>
      <c r="J88" s="504">
        <v>0.42</v>
      </c>
      <c r="K88" s="504">
        <v>0.42</v>
      </c>
      <c r="L88" s="504">
        <v>0.42</v>
      </c>
      <c r="M88" s="504">
        <v>0.42</v>
      </c>
      <c r="N88" s="504">
        <v>0.42</v>
      </c>
      <c r="O88" s="504">
        <v>0.42</v>
      </c>
      <c r="P88" s="504">
        <v>0.42</v>
      </c>
      <c r="Q88" s="504">
        <v>0.42</v>
      </c>
      <c r="R88" s="504">
        <v>0.42</v>
      </c>
      <c r="S88" s="504">
        <v>0.42</v>
      </c>
      <c r="T88" s="504">
        <v>0.42</v>
      </c>
      <c r="U88" s="504">
        <v>0.42</v>
      </c>
      <c r="V88" s="303"/>
      <c r="W88" s="504">
        <v>0.42</v>
      </c>
      <c r="X88" s="303"/>
      <c r="Y88" s="318">
        <v>0.255</v>
      </c>
      <c r="Z88" s="303"/>
      <c r="AA88" s="303"/>
      <c r="AB88" s="303"/>
    </row>
    <row r="89" spans="1:28" ht="14.4" x14ac:dyDescent="0.3">
      <c r="A89" s="43">
        <v>27</v>
      </c>
      <c r="B89" s="43"/>
      <c r="C89"/>
      <c r="D89" s="504">
        <v>0.69</v>
      </c>
      <c r="E89" s="504">
        <v>0.69</v>
      </c>
      <c r="F89" s="504">
        <v>0.69</v>
      </c>
      <c r="G89" s="504">
        <v>0.69</v>
      </c>
      <c r="H89" s="504">
        <v>0.69</v>
      </c>
      <c r="I89" s="504">
        <v>0.69</v>
      </c>
      <c r="J89" s="504">
        <v>0.69</v>
      </c>
      <c r="K89" s="504">
        <v>0.69</v>
      </c>
      <c r="L89" s="504">
        <v>0.69</v>
      </c>
      <c r="M89" s="504">
        <v>0.69</v>
      </c>
      <c r="N89" s="504">
        <v>0.69</v>
      </c>
      <c r="O89" s="504">
        <v>0.69</v>
      </c>
      <c r="P89" s="504">
        <v>0.69</v>
      </c>
      <c r="Q89" s="504">
        <v>0.69</v>
      </c>
      <c r="R89" s="504">
        <v>0.69</v>
      </c>
      <c r="S89" s="504">
        <v>0.69</v>
      </c>
      <c r="T89" s="504">
        <v>0.69</v>
      </c>
      <c r="U89" s="504">
        <v>0.69</v>
      </c>
      <c r="V89" s="303"/>
      <c r="W89" s="504">
        <v>0.69</v>
      </c>
      <c r="X89" s="303"/>
      <c r="Y89" s="318">
        <v>0.255</v>
      </c>
      <c r="Z89" s="303"/>
      <c r="AA89" s="303"/>
      <c r="AB89" s="303"/>
    </row>
    <row r="90" spans="1:28" ht="14.4" x14ac:dyDescent="0.3">
      <c r="A90" s="43">
        <v>28</v>
      </c>
      <c r="B90" s="43"/>
      <c r="C90"/>
      <c r="D90" s="504">
        <v>0.53</v>
      </c>
      <c r="E90" s="504">
        <v>0.53</v>
      </c>
      <c r="F90" s="504">
        <v>0.53</v>
      </c>
      <c r="G90" s="504">
        <v>0.53</v>
      </c>
      <c r="H90" s="504">
        <v>0.53</v>
      </c>
      <c r="I90" s="504">
        <v>0.53</v>
      </c>
      <c r="J90" s="504">
        <v>0.53</v>
      </c>
      <c r="K90" s="504">
        <v>0.53</v>
      </c>
      <c r="L90" s="504">
        <v>0.53</v>
      </c>
      <c r="M90" s="504">
        <v>0.53</v>
      </c>
      <c r="N90" s="504">
        <v>0.53</v>
      </c>
      <c r="O90" s="504">
        <v>0.53</v>
      </c>
      <c r="P90" s="504">
        <v>0.53</v>
      </c>
      <c r="Q90" s="504">
        <v>0.53</v>
      </c>
      <c r="R90" s="504">
        <v>0.53</v>
      </c>
      <c r="S90" s="504">
        <v>0.53</v>
      </c>
      <c r="T90" s="504">
        <v>0.53</v>
      </c>
      <c r="U90" s="504">
        <v>0.53</v>
      </c>
      <c r="V90" s="303"/>
      <c r="W90" s="504">
        <v>0.53</v>
      </c>
      <c r="X90" s="303"/>
      <c r="Y90" s="318">
        <v>0.28500000000000003</v>
      </c>
      <c r="Z90" s="303"/>
      <c r="AA90" s="303"/>
      <c r="AB90" s="303"/>
    </row>
    <row r="91" spans="1:28" ht="14.4" x14ac:dyDescent="0.3">
      <c r="A91" s="43">
        <v>29</v>
      </c>
      <c r="B91" s="43"/>
      <c r="C91"/>
      <c r="D91" s="504">
        <v>0.81</v>
      </c>
      <c r="E91" s="504">
        <v>0.81</v>
      </c>
      <c r="F91" s="504">
        <v>0.81</v>
      </c>
      <c r="G91" s="504">
        <v>0.81</v>
      </c>
      <c r="H91" s="504">
        <v>0.81</v>
      </c>
      <c r="I91" s="504">
        <v>0.81</v>
      </c>
      <c r="J91" s="504">
        <v>0.81</v>
      </c>
      <c r="K91" s="504">
        <v>0.81</v>
      </c>
      <c r="L91" s="504">
        <v>0.81</v>
      </c>
      <c r="M91" s="504">
        <v>0.81</v>
      </c>
      <c r="N91" s="504">
        <v>0.81</v>
      </c>
      <c r="O91" s="504">
        <v>0.81</v>
      </c>
      <c r="P91" s="504">
        <v>0.81</v>
      </c>
      <c r="Q91" s="504">
        <v>0.81</v>
      </c>
      <c r="R91" s="504">
        <v>0.81</v>
      </c>
      <c r="S91" s="504">
        <v>0.81</v>
      </c>
      <c r="T91" s="504">
        <v>0.81</v>
      </c>
      <c r="U91" s="504">
        <v>0.81</v>
      </c>
      <c r="V91" s="303"/>
      <c r="W91" s="504">
        <v>0.81</v>
      </c>
      <c r="X91" s="303"/>
      <c r="Y91" s="318">
        <v>0.22499999999999998</v>
      </c>
      <c r="Z91" s="303"/>
      <c r="AA91" s="303"/>
      <c r="AB91" s="303"/>
    </row>
    <row r="92" spans="1:28" ht="14.4" x14ac:dyDescent="0.3">
      <c r="A92" s="43">
        <v>30</v>
      </c>
      <c r="B92" s="43"/>
      <c r="C92"/>
      <c r="D92" s="504">
        <v>0.33</v>
      </c>
      <c r="E92" s="504">
        <v>0.33</v>
      </c>
      <c r="F92" s="504">
        <v>0.33</v>
      </c>
      <c r="G92" s="504">
        <v>0.33</v>
      </c>
      <c r="H92" s="504">
        <v>0.33</v>
      </c>
      <c r="I92" s="504">
        <v>0.33</v>
      </c>
      <c r="J92" s="504">
        <v>0.33</v>
      </c>
      <c r="K92" s="504">
        <v>0.33</v>
      </c>
      <c r="L92" s="504">
        <v>0.33</v>
      </c>
      <c r="M92" s="504">
        <v>0.33</v>
      </c>
      <c r="N92" s="504">
        <v>0.33</v>
      </c>
      <c r="O92" s="504">
        <v>0.33</v>
      </c>
      <c r="P92" s="504">
        <v>0.33</v>
      </c>
      <c r="Q92" s="504">
        <v>0.33</v>
      </c>
      <c r="R92" s="504">
        <v>0.33</v>
      </c>
      <c r="S92" s="504">
        <v>0.33</v>
      </c>
      <c r="T92" s="504">
        <v>0.33</v>
      </c>
      <c r="U92" s="504">
        <v>0.33</v>
      </c>
      <c r="V92" s="303"/>
      <c r="W92" s="504">
        <v>0.33</v>
      </c>
      <c r="X92" s="303"/>
      <c r="Y92" s="318">
        <v>0.22499999999999998</v>
      </c>
      <c r="Z92" s="303"/>
      <c r="AA92" s="303"/>
      <c r="AB92" s="303"/>
    </row>
    <row r="93" spans="1:28" ht="14.4" x14ac:dyDescent="0.3">
      <c r="A93" s="43">
        <v>31</v>
      </c>
      <c r="B93" s="43"/>
      <c r="C93"/>
      <c r="D93" s="504">
        <v>0.68</v>
      </c>
      <c r="E93" s="504">
        <v>0.68</v>
      </c>
      <c r="F93" s="504">
        <v>0.68</v>
      </c>
      <c r="G93" s="504">
        <v>0.68</v>
      </c>
      <c r="H93" s="504">
        <v>0.68</v>
      </c>
      <c r="I93" s="504">
        <v>0.68</v>
      </c>
      <c r="J93" s="504">
        <v>0.68</v>
      </c>
      <c r="K93" s="504">
        <v>0.68</v>
      </c>
      <c r="L93" s="504">
        <v>0.68</v>
      </c>
      <c r="M93" s="504">
        <v>0.68</v>
      </c>
      <c r="N93" s="504">
        <v>0.68</v>
      </c>
      <c r="O93" s="504">
        <v>0.68</v>
      </c>
      <c r="P93" s="504">
        <v>0.68</v>
      </c>
      <c r="Q93" s="504">
        <v>0.68</v>
      </c>
      <c r="R93" s="504">
        <v>0.68</v>
      </c>
      <c r="S93" s="504">
        <v>0.68</v>
      </c>
      <c r="T93" s="504">
        <v>0.68</v>
      </c>
      <c r="U93" s="504">
        <v>0.68</v>
      </c>
      <c r="V93" s="303"/>
      <c r="W93" s="504">
        <v>0.68</v>
      </c>
      <c r="X93" s="303"/>
      <c r="Y93" s="318">
        <v>0.14250000000000002</v>
      </c>
      <c r="Z93" s="303"/>
      <c r="AA93" s="303"/>
      <c r="AB93" s="303"/>
    </row>
    <row r="94" spans="1:28" ht="14.4" x14ac:dyDescent="0.3">
      <c r="A94" s="43">
        <v>32</v>
      </c>
      <c r="B94" s="43"/>
      <c r="C94"/>
      <c r="D94" s="504">
        <v>0.28999999999999998</v>
      </c>
      <c r="E94" s="504">
        <v>0.28999999999999998</v>
      </c>
      <c r="F94" s="504">
        <v>0.28999999999999998</v>
      </c>
      <c r="G94" s="504">
        <v>0.28999999999999998</v>
      </c>
      <c r="H94" s="504">
        <v>0.28999999999999998</v>
      </c>
      <c r="I94" s="504">
        <v>0.28999999999999998</v>
      </c>
      <c r="J94" s="504">
        <v>0.28999999999999998</v>
      </c>
      <c r="K94" s="504">
        <v>0.28999999999999998</v>
      </c>
      <c r="L94" s="504">
        <v>0.28999999999999998</v>
      </c>
      <c r="M94" s="504">
        <v>0.28999999999999998</v>
      </c>
      <c r="N94" s="504">
        <v>0.28999999999999998</v>
      </c>
      <c r="O94" s="504">
        <v>0.28999999999999998</v>
      </c>
      <c r="P94" s="504">
        <v>0.28999999999999998</v>
      </c>
      <c r="Q94" s="504">
        <v>0.28999999999999998</v>
      </c>
      <c r="R94" s="504">
        <v>0.28999999999999998</v>
      </c>
      <c r="S94" s="504">
        <v>0.28999999999999998</v>
      </c>
      <c r="T94" s="504">
        <v>0.28999999999999998</v>
      </c>
      <c r="U94" s="504">
        <v>0.28999999999999998</v>
      </c>
      <c r="V94" s="303"/>
      <c r="W94" s="504">
        <v>0.28999999999999998</v>
      </c>
      <c r="X94" s="303"/>
      <c r="Y94" s="318">
        <v>0.17250000000000001</v>
      </c>
      <c r="Z94" s="303"/>
      <c r="AA94" s="303"/>
      <c r="AB94" s="303"/>
    </row>
    <row r="95" spans="1:28" ht="14.4" x14ac:dyDescent="0.3">
      <c r="A95" s="43">
        <v>33</v>
      </c>
      <c r="B95" s="43"/>
      <c r="C95"/>
      <c r="D95" s="504">
        <v>0.26</v>
      </c>
      <c r="E95" s="504">
        <v>0.26</v>
      </c>
      <c r="F95" s="504">
        <v>0.26</v>
      </c>
      <c r="G95" s="504">
        <v>0.26</v>
      </c>
      <c r="H95" s="504">
        <v>0.26</v>
      </c>
      <c r="I95" s="504">
        <v>0.26</v>
      </c>
      <c r="J95" s="504">
        <v>0.26</v>
      </c>
      <c r="K95" s="504">
        <v>0.26</v>
      </c>
      <c r="L95" s="504">
        <v>0.26</v>
      </c>
      <c r="M95" s="504">
        <v>0.26</v>
      </c>
      <c r="N95" s="504">
        <v>0.26</v>
      </c>
      <c r="O95" s="504">
        <v>0.26</v>
      </c>
      <c r="P95" s="504">
        <v>0.26</v>
      </c>
      <c r="Q95" s="504">
        <v>0.26</v>
      </c>
      <c r="R95" s="504">
        <v>0.26</v>
      </c>
      <c r="S95" s="504">
        <v>0.26</v>
      </c>
      <c r="T95" s="504">
        <v>0.26</v>
      </c>
      <c r="U95" s="504">
        <v>0.26</v>
      </c>
      <c r="V95" s="303"/>
      <c r="W95" s="504">
        <v>0.26</v>
      </c>
      <c r="X95" s="303"/>
      <c r="Y95" s="318">
        <v>0.03</v>
      </c>
      <c r="Z95" s="303"/>
      <c r="AA95" s="303"/>
      <c r="AB95" s="303"/>
    </row>
    <row r="96" spans="1:28" ht="14.4" x14ac:dyDescent="0.3">
      <c r="A96" s="43">
        <v>34</v>
      </c>
      <c r="B96" s="43"/>
      <c r="C96"/>
      <c r="D96" s="504">
        <v>0.24</v>
      </c>
      <c r="E96" s="504">
        <v>0.24</v>
      </c>
      <c r="F96" s="504">
        <v>0.24</v>
      </c>
      <c r="G96" s="504">
        <v>0.24</v>
      </c>
      <c r="H96" s="504">
        <v>0.24</v>
      </c>
      <c r="I96" s="504">
        <v>0.24</v>
      </c>
      <c r="J96" s="504">
        <v>0.24</v>
      </c>
      <c r="K96" s="504">
        <v>0.24</v>
      </c>
      <c r="L96" s="504">
        <v>0.24</v>
      </c>
      <c r="M96" s="504">
        <v>0.24</v>
      </c>
      <c r="N96" s="504">
        <v>0.24</v>
      </c>
      <c r="O96" s="504">
        <v>0.24</v>
      </c>
      <c r="P96" s="504">
        <v>0.24</v>
      </c>
      <c r="Q96" s="504">
        <v>0.24</v>
      </c>
      <c r="R96" s="504">
        <v>0.24</v>
      </c>
      <c r="S96" s="504">
        <v>0.24</v>
      </c>
      <c r="T96" s="504">
        <v>0.24</v>
      </c>
      <c r="U96" s="504">
        <v>0.24</v>
      </c>
      <c r="V96" s="303"/>
      <c r="W96" s="504">
        <v>0.24</v>
      </c>
      <c r="X96" s="303"/>
      <c r="Y96" s="318">
        <v>3.0000000244147933E-2</v>
      </c>
      <c r="Z96" s="303"/>
      <c r="AA96" s="303"/>
      <c r="AB96" s="303"/>
    </row>
    <row r="97" spans="1:28" ht="14.4" x14ac:dyDescent="0.3">
      <c r="A97" s="43">
        <v>35</v>
      </c>
      <c r="B97" s="43"/>
      <c r="C97"/>
      <c r="D97" s="504">
        <v>0.41</v>
      </c>
      <c r="E97" s="504">
        <v>0.41</v>
      </c>
      <c r="F97" s="504">
        <v>0.41</v>
      </c>
      <c r="G97" s="504">
        <v>0.41</v>
      </c>
      <c r="H97" s="504">
        <v>0.41</v>
      </c>
      <c r="I97" s="504">
        <v>0.41</v>
      </c>
      <c r="J97" s="504">
        <v>0.41</v>
      </c>
      <c r="K97" s="504">
        <v>0.41</v>
      </c>
      <c r="L97" s="504">
        <v>0.41</v>
      </c>
      <c r="M97" s="504">
        <v>0.41</v>
      </c>
      <c r="N97" s="504">
        <v>0.41</v>
      </c>
      <c r="O97" s="504">
        <v>0.41</v>
      </c>
      <c r="P97" s="504">
        <v>0.41</v>
      </c>
      <c r="Q97" s="504">
        <v>0.41</v>
      </c>
      <c r="R97" s="504">
        <v>0.41</v>
      </c>
      <c r="S97" s="504">
        <v>0.41</v>
      </c>
      <c r="T97" s="504">
        <v>0.41</v>
      </c>
      <c r="U97" s="504">
        <v>0.41</v>
      </c>
      <c r="V97" s="303"/>
      <c r="W97" s="504">
        <v>0.41</v>
      </c>
      <c r="X97" s="303"/>
      <c r="Y97" s="318">
        <v>3.0000000244147933E-2</v>
      </c>
      <c r="Z97" s="303"/>
      <c r="AA97" s="303"/>
      <c r="AB97" s="303"/>
    </row>
    <row r="98" spans="1:28" ht="14.4" x14ac:dyDescent="0.3">
      <c r="A98" s="43">
        <v>36</v>
      </c>
      <c r="B98" s="43"/>
      <c r="C98"/>
      <c r="D98" s="504">
        <v>0.1</v>
      </c>
      <c r="E98" s="504">
        <v>0.1</v>
      </c>
      <c r="F98" s="504">
        <v>0.1</v>
      </c>
      <c r="G98" s="504">
        <v>0.1</v>
      </c>
      <c r="H98" s="504">
        <v>0.1</v>
      </c>
      <c r="I98" s="504">
        <v>0.1</v>
      </c>
      <c r="J98" s="504">
        <v>0.1</v>
      </c>
      <c r="K98" s="504">
        <v>0.1</v>
      </c>
      <c r="L98" s="504">
        <v>0.1</v>
      </c>
      <c r="M98" s="504">
        <v>0.1</v>
      </c>
      <c r="N98" s="504">
        <v>0.1</v>
      </c>
      <c r="O98" s="504">
        <v>0.1</v>
      </c>
      <c r="P98" s="504">
        <v>0.1</v>
      </c>
      <c r="Q98" s="504">
        <v>0.1</v>
      </c>
      <c r="R98" s="504">
        <v>0.1</v>
      </c>
      <c r="S98" s="504">
        <v>0.1</v>
      </c>
      <c r="T98" s="504">
        <v>0.1</v>
      </c>
      <c r="U98" s="504">
        <v>0.1</v>
      </c>
      <c r="V98" s="303"/>
      <c r="W98" s="504">
        <v>0.1</v>
      </c>
      <c r="X98" s="303"/>
      <c r="Y98" s="318">
        <v>3.0000000244147933E-2</v>
      </c>
      <c r="Z98" s="303"/>
      <c r="AA98" s="303"/>
      <c r="AB98" s="303"/>
    </row>
    <row r="99" spans="1:28" ht="14.4" x14ac:dyDescent="0.3">
      <c r="A99" s="43">
        <v>37</v>
      </c>
      <c r="B99" s="43"/>
      <c r="C99"/>
      <c r="D99" s="504">
        <v>0.28000000000000003</v>
      </c>
      <c r="E99" s="504">
        <v>0.28000000000000003</v>
      </c>
      <c r="F99" s="504">
        <v>0.28000000000000003</v>
      </c>
      <c r="G99" s="504">
        <v>0.28000000000000003</v>
      </c>
      <c r="H99" s="504">
        <v>0.28000000000000003</v>
      </c>
      <c r="I99" s="504">
        <v>0.28000000000000003</v>
      </c>
      <c r="J99" s="504">
        <v>0.28000000000000003</v>
      </c>
      <c r="K99" s="504">
        <v>0.28000000000000003</v>
      </c>
      <c r="L99" s="504">
        <v>0.28000000000000003</v>
      </c>
      <c r="M99" s="504">
        <v>0.28000000000000003</v>
      </c>
      <c r="N99" s="504">
        <v>0.28000000000000003</v>
      </c>
      <c r="O99" s="504">
        <v>0.28000000000000003</v>
      </c>
      <c r="P99" s="504">
        <v>0.28000000000000003</v>
      </c>
      <c r="Q99" s="504">
        <v>0.28000000000000003</v>
      </c>
      <c r="R99" s="504">
        <v>0.28000000000000003</v>
      </c>
      <c r="S99" s="504">
        <v>0.28000000000000003</v>
      </c>
      <c r="T99" s="504">
        <v>0.28000000000000003</v>
      </c>
      <c r="U99" s="504">
        <v>0.28000000000000003</v>
      </c>
      <c r="V99" s="303"/>
      <c r="W99" s="504">
        <v>0.28000000000000003</v>
      </c>
      <c r="X99" s="303"/>
      <c r="Y99" s="318">
        <v>3.0000000244147933E-2</v>
      </c>
      <c r="Z99" s="303"/>
      <c r="AA99" s="303"/>
      <c r="AB99" s="303"/>
    </row>
    <row r="100" spans="1:28" ht="14.4" x14ac:dyDescent="0.3">
      <c r="A100" s="43">
        <v>38</v>
      </c>
      <c r="B100" s="43"/>
      <c r="C100"/>
      <c r="D100" s="504">
        <v>0.08</v>
      </c>
      <c r="E100" s="504">
        <v>0.08</v>
      </c>
      <c r="F100" s="504">
        <v>0.08</v>
      </c>
      <c r="G100" s="504">
        <v>0.08</v>
      </c>
      <c r="H100" s="504">
        <v>0.08</v>
      </c>
      <c r="I100" s="504">
        <v>0.08</v>
      </c>
      <c r="J100" s="504">
        <v>0.08</v>
      </c>
      <c r="K100" s="504">
        <v>0.08</v>
      </c>
      <c r="L100" s="504">
        <v>0.08</v>
      </c>
      <c r="M100" s="504">
        <v>0.08</v>
      </c>
      <c r="N100" s="504">
        <v>0.08</v>
      </c>
      <c r="O100" s="504">
        <v>0.08</v>
      </c>
      <c r="P100" s="504">
        <v>0.08</v>
      </c>
      <c r="Q100" s="504">
        <v>0.08</v>
      </c>
      <c r="R100" s="504">
        <v>0.08</v>
      </c>
      <c r="S100" s="504">
        <v>0.08</v>
      </c>
      <c r="T100" s="504">
        <v>0.08</v>
      </c>
      <c r="U100" s="504">
        <v>0.08</v>
      </c>
      <c r="V100" s="303"/>
      <c r="W100" s="504">
        <v>0.08</v>
      </c>
      <c r="X100" s="303"/>
      <c r="Y100" s="318">
        <v>3.0000000244147933E-2</v>
      </c>
      <c r="Z100" s="303"/>
      <c r="AA100" s="303"/>
      <c r="AB100" s="303"/>
    </row>
    <row r="101" spans="1:28" ht="14.4" x14ac:dyDescent="0.3">
      <c r="A101" s="43">
        <v>39</v>
      </c>
      <c r="B101" s="43"/>
      <c r="C101"/>
      <c r="D101" s="504">
        <v>0.15</v>
      </c>
      <c r="E101" s="504">
        <v>0.15</v>
      </c>
      <c r="F101" s="504">
        <v>0.15</v>
      </c>
      <c r="G101" s="504">
        <v>0.15</v>
      </c>
      <c r="H101" s="504">
        <v>0.15</v>
      </c>
      <c r="I101" s="504">
        <v>0.15</v>
      </c>
      <c r="J101" s="504">
        <v>0.15</v>
      </c>
      <c r="K101" s="504">
        <v>0.15</v>
      </c>
      <c r="L101" s="504">
        <v>0.15</v>
      </c>
      <c r="M101" s="504">
        <v>0.15</v>
      </c>
      <c r="N101" s="504">
        <v>0.15</v>
      </c>
      <c r="O101" s="504">
        <v>0.15</v>
      </c>
      <c r="P101" s="504">
        <v>0.15</v>
      </c>
      <c r="Q101" s="504">
        <v>0.15</v>
      </c>
      <c r="R101" s="504">
        <v>0.15</v>
      </c>
      <c r="S101" s="504">
        <v>0.15</v>
      </c>
      <c r="T101" s="504">
        <v>0.15</v>
      </c>
      <c r="U101" s="504">
        <v>0.15</v>
      </c>
      <c r="V101" s="303"/>
      <c r="W101" s="504">
        <v>0.15</v>
      </c>
      <c r="X101" s="303"/>
      <c r="Y101" s="318">
        <v>3.0000000244147933E-2</v>
      </c>
      <c r="Z101" s="303"/>
      <c r="AA101" s="303"/>
      <c r="AB101" s="303"/>
    </row>
    <row r="102" spans="1:28" ht="14.4" x14ac:dyDescent="0.3">
      <c r="A102" s="43">
        <v>40</v>
      </c>
      <c r="B102" s="43"/>
      <c r="C102"/>
      <c r="D102" s="504">
        <v>0.1</v>
      </c>
      <c r="E102" s="504">
        <v>0.1</v>
      </c>
      <c r="F102" s="504">
        <v>0.1</v>
      </c>
      <c r="G102" s="504">
        <v>0.1</v>
      </c>
      <c r="H102" s="504">
        <v>0.1</v>
      </c>
      <c r="I102" s="504">
        <v>0.1</v>
      </c>
      <c r="J102" s="504">
        <v>0.1</v>
      </c>
      <c r="K102" s="504">
        <v>0.1</v>
      </c>
      <c r="L102" s="504">
        <v>0.1</v>
      </c>
      <c r="M102" s="504">
        <v>0.1</v>
      </c>
      <c r="N102" s="504">
        <v>0.1</v>
      </c>
      <c r="O102" s="504">
        <v>0.1</v>
      </c>
      <c r="P102" s="504">
        <v>0.1</v>
      </c>
      <c r="Q102" s="504">
        <v>0.1</v>
      </c>
      <c r="R102" s="504">
        <v>0.1</v>
      </c>
      <c r="S102" s="504">
        <v>0.1</v>
      </c>
      <c r="T102" s="504">
        <v>0.1</v>
      </c>
      <c r="U102" s="504">
        <v>0.1</v>
      </c>
      <c r="V102" s="303"/>
      <c r="W102" s="504">
        <v>0.1</v>
      </c>
      <c r="X102" s="303"/>
      <c r="Y102" s="318">
        <v>3.0000000244147933E-2</v>
      </c>
      <c r="Z102" s="303"/>
      <c r="AA102" s="303"/>
      <c r="AB102" s="303"/>
    </row>
    <row r="103" spans="1:28" ht="14.4" x14ac:dyDescent="0.3">
      <c r="A103" s="43">
        <v>41</v>
      </c>
      <c r="B103" s="43"/>
      <c r="C103"/>
      <c r="D103" s="504">
        <v>0.27</v>
      </c>
      <c r="E103" s="504">
        <v>0.27</v>
      </c>
      <c r="F103" s="504">
        <v>0.27</v>
      </c>
      <c r="G103" s="504">
        <v>0.27</v>
      </c>
      <c r="H103" s="504">
        <v>0.27</v>
      </c>
      <c r="I103" s="504">
        <v>0.27</v>
      </c>
      <c r="J103" s="504">
        <v>0.27</v>
      </c>
      <c r="K103" s="504">
        <v>0.27</v>
      </c>
      <c r="L103" s="504">
        <v>0.27</v>
      </c>
      <c r="M103" s="504">
        <v>0.27</v>
      </c>
      <c r="N103" s="504">
        <v>0.27</v>
      </c>
      <c r="O103" s="504">
        <v>0.27</v>
      </c>
      <c r="P103" s="504">
        <v>0.27</v>
      </c>
      <c r="Q103" s="504">
        <v>0.27</v>
      </c>
      <c r="R103" s="504">
        <v>0.27</v>
      </c>
      <c r="S103" s="504">
        <v>0.27</v>
      </c>
      <c r="T103" s="504">
        <v>0.27</v>
      </c>
      <c r="U103" s="504">
        <v>0.27</v>
      </c>
      <c r="V103" s="303"/>
      <c r="W103" s="504">
        <v>0.27</v>
      </c>
      <c r="X103" s="303"/>
      <c r="Y103" s="318">
        <v>3.0000000244147933E-2</v>
      </c>
      <c r="Z103" s="303"/>
      <c r="AA103" s="303"/>
      <c r="AB103" s="303"/>
    </row>
    <row r="104" spans="1:28" ht="14.4" x14ac:dyDescent="0.3">
      <c r="A104" s="43">
        <v>42</v>
      </c>
      <c r="B104" s="43"/>
      <c r="C104"/>
      <c r="D104" s="504">
        <v>0.06</v>
      </c>
      <c r="E104" s="504">
        <v>0.06</v>
      </c>
      <c r="F104" s="504">
        <v>0.06</v>
      </c>
      <c r="G104" s="504">
        <v>0.06</v>
      </c>
      <c r="H104" s="504">
        <v>0.06</v>
      </c>
      <c r="I104" s="504">
        <v>0.06</v>
      </c>
      <c r="J104" s="504">
        <v>0.06</v>
      </c>
      <c r="K104" s="504">
        <v>0.06</v>
      </c>
      <c r="L104" s="504">
        <v>0.06</v>
      </c>
      <c r="M104" s="504">
        <v>0.06</v>
      </c>
      <c r="N104" s="504">
        <v>0.06</v>
      </c>
      <c r="O104" s="504">
        <v>0.06</v>
      </c>
      <c r="P104" s="504">
        <v>0.06</v>
      </c>
      <c r="Q104" s="504">
        <v>0.06</v>
      </c>
      <c r="R104" s="504">
        <v>0.06</v>
      </c>
      <c r="S104" s="504">
        <v>0.06</v>
      </c>
      <c r="T104" s="504">
        <v>0.06</v>
      </c>
      <c r="U104" s="504">
        <v>0.06</v>
      </c>
      <c r="V104" s="303"/>
      <c r="W104" s="504">
        <v>0.06</v>
      </c>
      <c r="X104" s="303"/>
      <c r="Y104" s="318">
        <v>3.0000000244147933E-2</v>
      </c>
      <c r="Z104" s="303"/>
      <c r="AA104" s="303"/>
      <c r="AB104" s="303"/>
    </row>
    <row r="105" spans="1:28" ht="14.4" x14ac:dyDescent="0.3">
      <c r="A105" s="43">
        <v>43</v>
      </c>
      <c r="B105" s="43"/>
      <c r="C105"/>
      <c r="D105" s="504">
        <v>0.14000000000000001</v>
      </c>
      <c r="E105" s="504">
        <v>0.14000000000000001</v>
      </c>
      <c r="F105" s="504">
        <v>0.14000000000000001</v>
      </c>
      <c r="G105" s="504">
        <v>0.14000000000000001</v>
      </c>
      <c r="H105" s="504">
        <v>0.14000000000000001</v>
      </c>
      <c r="I105" s="504">
        <v>0.14000000000000001</v>
      </c>
      <c r="J105" s="504">
        <v>0.14000000000000001</v>
      </c>
      <c r="K105" s="504">
        <v>0.14000000000000001</v>
      </c>
      <c r="L105" s="504">
        <v>0.14000000000000001</v>
      </c>
      <c r="M105" s="504">
        <v>0.14000000000000001</v>
      </c>
      <c r="N105" s="504">
        <v>0.14000000000000001</v>
      </c>
      <c r="O105" s="504">
        <v>0.14000000000000001</v>
      </c>
      <c r="P105" s="504">
        <v>0.14000000000000001</v>
      </c>
      <c r="Q105" s="504">
        <v>0.14000000000000001</v>
      </c>
      <c r="R105" s="504">
        <v>0.14000000000000001</v>
      </c>
      <c r="S105" s="504">
        <v>0.14000000000000001</v>
      </c>
      <c r="T105" s="504">
        <v>0.14000000000000001</v>
      </c>
      <c r="U105" s="504">
        <v>0.14000000000000001</v>
      </c>
      <c r="V105" s="303"/>
      <c r="W105" s="504">
        <v>0.14000000000000001</v>
      </c>
      <c r="X105" s="303"/>
      <c r="Y105" s="318">
        <v>6.0000000488295867E-2</v>
      </c>
      <c r="Z105" s="303"/>
      <c r="AA105" s="303"/>
      <c r="AB105" s="303"/>
    </row>
    <row r="106" spans="1:28" ht="14.4" x14ac:dyDescent="0.3">
      <c r="A106" s="43">
        <v>44</v>
      </c>
      <c r="B106" s="43"/>
      <c r="C106"/>
      <c r="D106" s="504">
        <v>7.0000000000000007E-2</v>
      </c>
      <c r="E106" s="504">
        <v>7.0000000000000007E-2</v>
      </c>
      <c r="F106" s="504">
        <v>7.0000000000000007E-2</v>
      </c>
      <c r="G106" s="504">
        <v>7.0000000000000007E-2</v>
      </c>
      <c r="H106" s="504">
        <v>7.0000000000000007E-2</v>
      </c>
      <c r="I106" s="504">
        <v>7.0000000000000007E-2</v>
      </c>
      <c r="J106" s="504">
        <v>7.0000000000000007E-2</v>
      </c>
      <c r="K106" s="504">
        <v>7.0000000000000007E-2</v>
      </c>
      <c r="L106" s="504">
        <v>7.0000000000000007E-2</v>
      </c>
      <c r="M106" s="504">
        <v>7.0000000000000007E-2</v>
      </c>
      <c r="N106" s="504">
        <v>7.0000000000000007E-2</v>
      </c>
      <c r="O106" s="504">
        <v>7.0000000000000007E-2</v>
      </c>
      <c r="P106" s="504">
        <v>7.0000000000000007E-2</v>
      </c>
      <c r="Q106" s="504">
        <v>7.0000000000000007E-2</v>
      </c>
      <c r="R106" s="504">
        <v>7.0000000000000007E-2</v>
      </c>
      <c r="S106" s="504">
        <v>7.0000000000000007E-2</v>
      </c>
      <c r="T106" s="504">
        <v>7.0000000000000007E-2</v>
      </c>
      <c r="U106" s="504">
        <v>7.0000000000000007E-2</v>
      </c>
      <c r="V106" s="303"/>
      <c r="W106" s="504">
        <v>7.0000000000000007E-2</v>
      </c>
      <c r="X106" s="303"/>
      <c r="Y106" s="318">
        <v>3.0000000244147933E-2</v>
      </c>
      <c r="Z106" s="303"/>
      <c r="AA106" s="303"/>
      <c r="AB106" s="303"/>
    </row>
    <row r="107" spans="1:28" ht="14.4" x14ac:dyDescent="0.3">
      <c r="A107" s="43">
        <v>45</v>
      </c>
      <c r="B107" s="43"/>
      <c r="C107"/>
      <c r="D107" s="504">
        <v>0.06</v>
      </c>
      <c r="E107" s="504">
        <v>0.06</v>
      </c>
      <c r="F107" s="504">
        <v>0.06</v>
      </c>
      <c r="G107" s="504">
        <v>0.06</v>
      </c>
      <c r="H107" s="504">
        <v>0.06</v>
      </c>
      <c r="I107" s="504">
        <v>0.06</v>
      </c>
      <c r="J107" s="504">
        <v>0.06</v>
      </c>
      <c r="K107" s="504">
        <v>0.06</v>
      </c>
      <c r="L107" s="504">
        <v>0.06</v>
      </c>
      <c r="M107" s="504">
        <v>0.06</v>
      </c>
      <c r="N107" s="504">
        <v>0.06</v>
      </c>
      <c r="O107" s="504">
        <v>0.06</v>
      </c>
      <c r="P107" s="504">
        <v>0.06</v>
      </c>
      <c r="Q107" s="504">
        <v>0.06</v>
      </c>
      <c r="R107" s="504">
        <v>0.06</v>
      </c>
      <c r="S107" s="504">
        <v>0.06</v>
      </c>
      <c r="T107" s="504">
        <v>0.06</v>
      </c>
      <c r="U107" s="504">
        <v>0.06</v>
      </c>
      <c r="V107" s="303"/>
      <c r="W107" s="504">
        <v>0.06</v>
      </c>
      <c r="X107" s="303"/>
      <c r="Y107" s="318">
        <v>3.0000000244147933E-2</v>
      </c>
      <c r="Z107" s="303"/>
      <c r="AA107" s="303"/>
      <c r="AB107" s="303"/>
    </row>
    <row r="108" spans="1:28" ht="14.4" x14ac:dyDescent="0.3">
      <c r="A108" s="43">
        <v>46</v>
      </c>
      <c r="B108" s="43"/>
      <c r="C108"/>
      <c r="D108" s="504">
        <v>0.09</v>
      </c>
      <c r="E108" s="504">
        <v>0.09</v>
      </c>
      <c r="F108" s="504">
        <v>0.09</v>
      </c>
      <c r="G108" s="504">
        <v>0.09</v>
      </c>
      <c r="H108" s="504">
        <v>0.09</v>
      </c>
      <c r="I108" s="504">
        <v>0.09</v>
      </c>
      <c r="J108" s="504">
        <v>0.09</v>
      </c>
      <c r="K108" s="504">
        <v>0.09</v>
      </c>
      <c r="L108" s="504">
        <v>0.09</v>
      </c>
      <c r="M108" s="504">
        <v>0.09</v>
      </c>
      <c r="N108" s="504">
        <v>0.09</v>
      </c>
      <c r="O108" s="504">
        <v>0.09</v>
      </c>
      <c r="P108" s="504">
        <v>0.09</v>
      </c>
      <c r="Q108" s="504">
        <v>0.09</v>
      </c>
      <c r="R108" s="504">
        <v>0.09</v>
      </c>
      <c r="S108" s="504">
        <v>0.09</v>
      </c>
      <c r="T108" s="504">
        <v>0.09</v>
      </c>
      <c r="U108" s="504">
        <v>0.09</v>
      </c>
      <c r="V108" s="303"/>
      <c r="W108" s="504">
        <v>0.09</v>
      </c>
      <c r="X108" s="303"/>
      <c r="Y108" s="318">
        <v>3.0000000244147933E-2</v>
      </c>
      <c r="Z108" s="303"/>
      <c r="AA108" s="303"/>
      <c r="AB108" s="303"/>
    </row>
    <row r="109" spans="1:28" ht="14.4" x14ac:dyDescent="0.3">
      <c r="A109" s="43">
        <v>47</v>
      </c>
      <c r="B109" s="43"/>
      <c r="C109"/>
      <c r="D109" s="504">
        <v>0.23</v>
      </c>
      <c r="E109" s="504">
        <v>0.23</v>
      </c>
      <c r="F109" s="504">
        <v>0.23</v>
      </c>
      <c r="G109" s="504">
        <v>0.23</v>
      </c>
      <c r="H109" s="504">
        <v>0.23</v>
      </c>
      <c r="I109" s="504">
        <v>0.23</v>
      </c>
      <c r="J109" s="504">
        <v>0.23</v>
      </c>
      <c r="K109" s="504">
        <v>0.23</v>
      </c>
      <c r="L109" s="504">
        <v>0.23</v>
      </c>
      <c r="M109" s="504">
        <v>0.23</v>
      </c>
      <c r="N109" s="504">
        <v>0.23</v>
      </c>
      <c r="O109" s="504">
        <v>0.23</v>
      </c>
      <c r="P109" s="504">
        <v>0.23</v>
      </c>
      <c r="Q109" s="504">
        <v>0.23</v>
      </c>
      <c r="R109" s="504">
        <v>0.23</v>
      </c>
      <c r="S109" s="504">
        <v>0.23</v>
      </c>
      <c r="T109" s="504">
        <v>0.23</v>
      </c>
      <c r="U109" s="504">
        <v>0.23</v>
      </c>
      <c r="V109" s="303"/>
      <c r="W109" s="504">
        <v>0.23</v>
      </c>
      <c r="X109" s="303"/>
      <c r="Y109" s="318">
        <v>3.0000000244147933E-2</v>
      </c>
      <c r="Z109" s="303"/>
      <c r="AA109" s="303"/>
      <c r="AB109" s="303"/>
    </row>
    <row r="110" spans="1:28" ht="14.4" x14ac:dyDescent="0.3">
      <c r="A110" s="43">
        <v>48</v>
      </c>
      <c r="B110" s="43"/>
      <c r="C110"/>
      <c r="D110" s="504">
        <v>7.0000000000000007E-2</v>
      </c>
      <c r="E110" s="504">
        <v>7.0000000000000007E-2</v>
      </c>
      <c r="F110" s="504">
        <v>7.0000000000000007E-2</v>
      </c>
      <c r="G110" s="504">
        <v>7.0000000000000007E-2</v>
      </c>
      <c r="H110" s="504">
        <v>7.0000000000000007E-2</v>
      </c>
      <c r="I110" s="504">
        <v>7.0000000000000007E-2</v>
      </c>
      <c r="J110" s="504">
        <v>7.0000000000000007E-2</v>
      </c>
      <c r="K110" s="504">
        <v>7.0000000000000007E-2</v>
      </c>
      <c r="L110" s="504">
        <v>7.0000000000000007E-2</v>
      </c>
      <c r="M110" s="504">
        <v>7.0000000000000007E-2</v>
      </c>
      <c r="N110" s="504">
        <v>7.0000000000000007E-2</v>
      </c>
      <c r="O110" s="504">
        <v>7.0000000000000007E-2</v>
      </c>
      <c r="P110" s="504">
        <v>7.0000000000000007E-2</v>
      </c>
      <c r="Q110" s="504">
        <v>7.0000000000000007E-2</v>
      </c>
      <c r="R110" s="504">
        <v>7.0000000000000007E-2</v>
      </c>
      <c r="S110" s="504">
        <v>7.0000000000000007E-2</v>
      </c>
      <c r="T110" s="504">
        <v>7.0000000000000007E-2</v>
      </c>
      <c r="U110" s="504">
        <v>7.0000000000000007E-2</v>
      </c>
      <c r="V110" s="303"/>
      <c r="W110" s="504">
        <v>7.0000000000000007E-2</v>
      </c>
      <c r="X110" s="303"/>
      <c r="Y110" s="318">
        <v>3.0000000244147933E-2</v>
      </c>
      <c r="Z110" s="303"/>
      <c r="AA110" s="303"/>
      <c r="AB110" s="303"/>
    </row>
    <row r="111" spans="1:28" ht="14.4" x14ac:dyDescent="0.3">
      <c r="A111" s="43">
        <v>49</v>
      </c>
      <c r="B111" s="43"/>
      <c r="C111"/>
      <c r="D111" s="504">
        <v>0.15</v>
      </c>
      <c r="E111" s="504">
        <v>0.15</v>
      </c>
      <c r="F111" s="504">
        <v>0.15</v>
      </c>
      <c r="G111" s="504">
        <v>0.15</v>
      </c>
      <c r="H111" s="504">
        <v>0.15</v>
      </c>
      <c r="I111" s="504">
        <v>0.15</v>
      </c>
      <c r="J111" s="504">
        <v>0.15</v>
      </c>
      <c r="K111" s="504">
        <v>0.15</v>
      </c>
      <c r="L111" s="504">
        <v>0.15</v>
      </c>
      <c r="M111" s="504">
        <v>0.15</v>
      </c>
      <c r="N111" s="504">
        <v>0.15</v>
      </c>
      <c r="O111" s="504">
        <v>0.15</v>
      </c>
      <c r="P111" s="504">
        <v>0.15</v>
      </c>
      <c r="Q111" s="504">
        <v>0.15</v>
      </c>
      <c r="R111" s="504">
        <v>0.15</v>
      </c>
      <c r="S111" s="504">
        <v>0.15</v>
      </c>
      <c r="T111" s="504">
        <v>0.15</v>
      </c>
      <c r="U111" s="504">
        <v>0.15</v>
      </c>
      <c r="V111" s="303"/>
      <c r="W111" s="504">
        <v>0.15</v>
      </c>
      <c r="X111" s="303"/>
      <c r="Y111" s="318">
        <v>3.0000000244147933E-2</v>
      </c>
      <c r="Z111" s="303"/>
      <c r="AA111" s="303"/>
      <c r="AB111" s="303"/>
    </row>
    <row r="112" spans="1:28" ht="14.4" x14ac:dyDescent="0.3">
      <c r="A112" s="43">
        <v>50</v>
      </c>
      <c r="B112" s="43"/>
      <c r="C112"/>
      <c r="D112" s="504">
        <v>7.0000000000000007E-2</v>
      </c>
      <c r="E112" s="504">
        <v>7.0000000000000007E-2</v>
      </c>
      <c r="F112" s="504">
        <v>7.0000000000000007E-2</v>
      </c>
      <c r="G112" s="504">
        <v>7.0000000000000007E-2</v>
      </c>
      <c r="H112" s="504">
        <v>7.0000000000000007E-2</v>
      </c>
      <c r="I112" s="504">
        <v>7.0000000000000007E-2</v>
      </c>
      <c r="J112" s="504">
        <v>7.0000000000000007E-2</v>
      </c>
      <c r="K112" s="504">
        <v>7.0000000000000007E-2</v>
      </c>
      <c r="L112" s="504">
        <v>7.0000000000000007E-2</v>
      </c>
      <c r="M112" s="504">
        <v>7.0000000000000007E-2</v>
      </c>
      <c r="N112" s="504">
        <v>7.0000000000000007E-2</v>
      </c>
      <c r="O112" s="504">
        <v>7.0000000000000007E-2</v>
      </c>
      <c r="P112" s="504">
        <v>7.0000000000000007E-2</v>
      </c>
      <c r="Q112" s="504">
        <v>7.0000000000000007E-2</v>
      </c>
      <c r="R112" s="504">
        <v>7.0000000000000007E-2</v>
      </c>
      <c r="S112" s="504">
        <v>7.0000000000000007E-2</v>
      </c>
      <c r="T112" s="504">
        <v>7.0000000000000007E-2</v>
      </c>
      <c r="U112" s="504">
        <v>7.0000000000000007E-2</v>
      </c>
      <c r="V112" s="303"/>
      <c r="W112" s="504">
        <v>7.0000000000000007E-2</v>
      </c>
      <c r="X112" s="303"/>
      <c r="Y112" s="318">
        <v>3.0000000244147933E-2</v>
      </c>
      <c r="Z112" s="303"/>
      <c r="AA112" s="303"/>
      <c r="AB112" s="303"/>
    </row>
    <row r="113" spans="1:31" x14ac:dyDescent="0.25">
      <c r="A113" s="71"/>
      <c r="B113" s="71"/>
      <c r="D113" s="74"/>
    </row>
    <row r="114" spans="1:31" x14ac:dyDescent="0.25">
      <c r="B114" s="67" t="s">
        <v>52</v>
      </c>
      <c r="C114" s="67" t="s">
        <v>98</v>
      </c>
      <c r="D114" s="70">
        <f t="shared" ref="D114:Q114" si="7">SQRT(SUMSQ(D64:D112))</f>
        <v>3.622057426380759</v>
      </c>
      <c r="E114" s="70">
        <f t="shared" si="7"/>
        <v>3.622057426380759</v>
      </c>
      <c r="F114" s="70">
        <f t="shared" si="7"/>
        <v>3.622057426380759</v>
      </c>
      <c r="G114" s="70">
        <f t="shared" si="7"/>
        <v>3.622057426380759</v>
      </c>
      <c r="H114" s="70">
        <f t="shared" si="7"/>
        <v>3.622057426380759</v>
      </c>
      <c r="I114" s="70">
        <f t="shared" si="7"/>
        <v>3.622057426380759</v>
      </c>
      <c r="J114" s="70">
        <f t="shared" si="7"/>
        <v>3.622057426380759</v>
      </c>
      <c r="K114" s="70">
        <f t="shared" si="7"/>
        <v>3.622057426380759</v>
      </c>
      <c r="L114" s="70">
        <f t="shared" si="7"/>
        <v>3.622057426380759</v>
      </c>
      <c r="M114" s="70">
        <f t="shared" si="7"/>
        <v>3.622057426380759</v>
      </c>
      <c r="N114" s="70">
        <f t="shared" si="7"/>
        <v>3.622057426380759</v>
      </c>
      <c r="O114" s="70">
        <f t="shared" si="7"/>
        <v>3.622057426380759</v>
      </c>
      <c r="P114" s="70">
        <f t="shared" si="7"/>
        <v>3.622057426380759</v>
      </c>
      <c r="Q114" s="70">
        <f t="shared" si="7"/>
        <v>3.622057426380759</v>
      </c>
      <c r="R114" s="70">
        <f t="shared" ref="R114:Y114" si="8">SQRT(SUMSQ(R64:R112))</f>
        <v>3.622057426380759</v>
      </c>
      <c r="S114" s="70">
        <f t="shared" si="8"/>
        <v>3.622057426380759</v>
      </c>
      <c r="T114" s="70">
        <f t="shared" si="8"/>
        <v>3.622057426380759</v>
      </c>
      <c r="U114" s="70">
        <f t="shared" si="8"/>
        <v>3.622057426380759</v>
      </c>
      <c r="V114" s="70"/>
      <c r="W114" s="70">
        <f t="shared" si="8"/>
        <v>3.7650099601461893</v>
      </c>
      <c r="X114" s="70"/>
      <c r="Y114" s="70">
        <f t="shared" si="8"/>
        <v>3.2882518152192945</v>
      </c>
      <c r="Z114" s="70"/>
      <c r="AA114" s="70"/>
      <c r="AB114" s="70"/>
      <c r="AC114" s="70"/>
      <c r="AD114" s="70"/>
      <c r="AE114" s="70"/>
    </row>
    <row r="115" spans="1:31" x14ac:dyDescent="0.25">
      <c r="AE115" s="70"/>
    </row>
    <row r="116" spans="1:31" x14ac:dyDescent="0.25">
      <c r="R116" s="71"/>
      <c r="V116" s="72"/>
      <c r="W116" s="73"/>
      <c r="X116" s="73"/>
      <c r="Y116" s="72"/>
      <c r="Z116" s="72"/>
      <c r="AA116" s="72"/>
      <c r="AB116" s="72"/>
      <c r="AE116" s="70"/>
    </row>
    <row r="117" spans="1:31" x14ac:dyDescent="0.25">
      <c r="R117" s="71"/>
      <c r="S117" s="75"/>
      <c r="T117" s="76"/>
      <c r="V117" s="69"/>
      <c r="W117" s="75"/>
      <c r="X117" s="75"/>
      <c r="Y117" s="75"/>
      <c r="Z117" s="75"/>
      <c r="AA117" s="75"/>
      <c r="AB117" s="75"/>
      <c r="AE117" s="70"/>
    </row>
    <row r="118" spans="1:31" x14ac:dyDescent="0.25">
      <c r="R118" s="71"/>
      <c r="T118" s="77"/>
    </row>
    <row r="119" spans="1:31" x14ac:dyDescent="0.25">
      <c r="R119" s="71"/>
      <c r="T119" s="77"/>
    </row>
    <row r="120" spans="1:31" x14ac:dyDescent="0.25">
      <c r="R120" s="71"/>
      <c r="S120" s="75"/>
      <c r="T120" s="76"/>
      <c r="V120" s="69"/>
      <c r="W120" s="75"/>
      <c r="X120" s="75"/>
      <c r="Y120" s="75"/>
      <c r="Z120" s="75"/>
      <c r="AA120" s="75"/>
      <c r="AB120" s="75"/>
    </row>
    <row r="121" spans="1:31" x14ac:dyDescent="0.25">
      <c r="AB121" s="75"/>
    </row>
    <row r="122" spans="1:31" x14ac:dyDescent="0.25">
      <c r="AB122" s="75"/>
    </row>
    <row r="123" spans="1:31" x14ac:dyDescent="0.25">
      <c r="AB123" s="75"/>
    </row>
  </sheetData>
  <pageMargins left="0.75" right="0.75" top="1" bottom="1" header="0.5" footer="0.5"/>
  <pageSetup scale="61" fitToHeight="2" orientation="portrait" r:id="rId1"/>
  <headerFooter alignWithMargins="0">
    <oddHeader>&amp;R&amp;D
&amp;T
rh</oddHeader>
    <oddFooter>&amp;L&amp;F
&amp;A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AE127"/>
  <sheetViews>
    <sheetView zoomScaleNormal="100" workbookViewId="0">
      <selection activeCell="M16" sqref="M16"/>
    </sheetView>
  </sheetViews>
  <sheetFormatPr defaultRowHeight="13.2" x14ac:dyDescent="0.25"/>
  <cols>
    <col min="1" max="1" width="9.33203125" style="67" customWidth="1"/>
    <col min="2" max="2" width="9.109375" style="67"/>
    <col min="3" max="4" width="11.44140625" style="67" bestFit="1" customWidth="1"/>
    <col min="5" max="5" width="10.33203125" style="67" bestFit="1" customWidth="1"/>
    <col min="6" max="6" width="9.109375" style="67"/>
    <col min="7" max="7" width="11.44140625" style="67" bestFit="1" customWidth="1"/>
    <col min="8" max="8" width="12.33203125" style="67" bestFit="1" customWidth="1"/>
    <col min="9" max="9" width="9.109375" style="67"/>
    <col min="10" max="10" width="12.5546875" style="67" bestFit="1" customWidth="1"/>
    <col min="11" max="11" width="14.109375" style="67" bestFit="1" customWidth="1"/>
    <col min="12" max="12" width="14.6640625" style="67" bestFit="1" customWidth="1"/>
    <col min="13" max="13" width="10.5546875" style="67" bestFit="1" customWidth="1"/>
    <col min="14" max="15" width="12.109375" style="67" bestFit="1" customWidth="1"/>
    <col min="16" max="16" width="10.5546875" style="67" bestFit="1" customWidth="1"/>
    <col min="17" max="18" width="9.109375" style="67"/>
    <col min="19" max="19" width="13.5546875" style="67" bestFit="1" customWidth="1"/>
    <col min="20" max="20" width="14.109375" style="67" bestFit="1" customWidth="1"/>
    <col min="21" max="25" width="10.5546875" style="67" bestFit="1" customWidth="1"/>
    <col min="26" max="263" width="9.109375" style="67"/>
    <col min="264" max="264" width="10.6640625" style="67" customWidth="1"/>
    <col min="265" max="519" width="9.109375" style="67"/>
    <col min="520" max="520" width="10.6640625" style="67" customWidth="1"/>
    <col min="521" max="775" width="9.109375" style="67"/>
    <col min="776" max="776" width="10.6640625" style="67" customWidth="1"/>
    <col min="777" max="1031" width="9.109375" style="67"/>
    <col min="1032" max="1032" width="10.6640625" style="67" customWidth="1"/>
    <col min="1033" max="1287" width="9.109375" style="67"/>
    <col min="1288" max="1288" width="10.6640625" style="67" customWidth="1"/>
    <col min="1289" max="1543" width="9.109375" style="67"/>
    <col min="1544" max="1544" width="10.6640625" style="67" customWidth="1"/>
    <col min="1545" max="1799" width="9.109375" style="67"/>
    <col min="1800" max="1800" width="10.6640625" style="67" customWidth="1"/>
    <col min="1801" max="2055" width="9.109375" style="67"/>
    <col min="2056" max="2056" width="10.6640625" style="67" customWidth="1"/>
    <col min="2057" max="2311" width="9.109375" style="67"/>
    <col min="2312" max="2312" width="10.6640625" style="67" customWidth="1"/>
    <col min="2313" max="2567" width="9.109375" style="67"/>
    <col min="2568" max="2568" width="10.6640625" style="67" customWidth="1"/>
    <col min="2569" max="2823" width="9.109375" style="67"/>
    <col min="2824" max="2824" width="10.6640625" style="67" customWidth="1"/>
    <col min="2825" max="3079" width="9.109375" style="67"/>
    <col min="3080" max="3080" width="10.6640625" style="67" customWidth="1"/>
    <col min="3081" max="3335" width="9.109375" style="67"/>
    <col min="3336" max="3336" width="10.6640625" style="67" customWidth="1"/>
    <col min="3337" max="3591" width="9.109375" style="67"/>
    <col min="3592" max="3592" width="10.6640625" style="67" customWidth="1"/>
    <col min="3593" max="3847" width="9.109375" style="67"/>
    <col min="3848" max="3848" width="10.6640625" style="67" customWidth="1"/>
    <col min="3849" max="4103" width="9.109375" style="67"/>
    <col min="4104" max="4104" width="10.6640625" style="67" customWidth="1"/>
    <col min="4105" max="4359" width="9.109375" style="67"/>
    <col min="4360" max="4360" width="10.6640625" style="67" customWidth="1"/>
    <col min="4361" max="4615" width="9.109375" style="67"/>
    <col min="4616" max="4616" width="10.6640625" style="67" customWidth="1"/>
    <col min="4617" max="4871" width="9.109375" style="67"/>
    <col min="4872" max="4872" width="10.6640625" style="67" customWidth="1"/>
    <col min="4873" max="5127" width="9.109375" style="67"/>
    <col min="5128" max="5128" width="10.6640625" style="67" customWidth="1"/>
    <col min="5129" max="5383" width="9.109375" style="67"/>
    <col min="5384" max="5384" width="10.6640625" style="67" customWidth="1"/>
    <col min="5385" max="5639" width="9.109375" style="67"/>
    <col min="5640" max="5640" width="10.6640625" style="67" customWidth="1"/>
    <col min="5641" max="5895" width="9.109375" style="67"/>
    <col min="5896" max="5896" width="10.6640625" style="67" customWidth="1"/>
    <col min="5897" max="6151" width="9.109375" style="67"/>
    <col min="6152" max="6152" width="10.6640625" style="67" customWidth="1"/>
    <col min="6153" max="6407" width="9.109375" style="67"/>
    <col min="6408" max="6408" width="10.6640625" style="67" customWidth="1"/>
    <col min="6409" max="6663" width="9.109375" style="67"/>
    <col min="6664" max="6664" width="10.6640625" style="67" customWidth="1"/>
    <col min="6665" max="6919" width="9.109375" style="67"/>
    <col min="6920" max="6920" width="10.6640625" style="67" customWidth="1"/>
    <col min="6921" max="7175" width="9.109375" style="67"/>
    <col min="7176" max="7176" width="10.6640625" style="67" customWidth="1"/>
    <col min="7177" max="7431" width="9.109375" style="67"/>
    <col min="7432" max="7432" width="10.6640625" style="67" customWidth="1"/>
    <col min="7433" max="7687" width="9.109375" style="67"/>
    <col min="7688" max="7688" width="10.6640625" style="67" customWidth="1"/>
    <col min="7689" max="7943" width="9.109375" style="67"/>
    <col min="7944" max="7944" width="10.6640625" style="67" customWidth="1"/>
    <col min="7945" max="8199" width="9.109375" style="67"/>
    <col min="8200" max="8200" width="10.6640625" style="67" customWidth="1"/>
    <col min="8201" max="8455" width="9.109375" style="67"/>
    <col min="8456" max="8456" width="10.6640625" style="67" customWidth="1"/>
    <col min="8457" max="8711" width="9.109375" style="67"/>
    <col min="8712" max="8712" width="10.6640625" style="67" customWidth="1"/>
    <col min="8713" max="8967" width="9.109375" style="67"/>
    <col min="8968" max="8968" width="10.6640625" style="67" customWidth="1"/>
    <col min="8969" max="9223" width="9.109375" style="67"/>
    <col min="9224" max="9224" width="10.6640625" style="67" customWidth="1"/>
    <col min="9225" max="9479" width="9.109375" style="67"/>
    <col min="9480" max="9480" width="10.6640625" style="67" customWidth="1"/>
    <col min="9481" max="9735" width="9.109375" style="67"/>
    <col min="9736" max="9736" width="10.6640625" style="67" customWidth="1"/>
    <col min="9737" max="9991" width="9.109375" style="67"/>
    <col min="9992" max="9992" width="10.6640625" style="67" customWidth="1"/>
    <col min="9993" max="10247" width="9.109375" style="67"/>
    <col min="10248" max="10248" width="10.6640625" style="67" customWidth="1"/>
    <col min="10249" max="10503" width="9.109375" style="67"/>
    <col min="10504" max="10504" width="10.6640625" style="67" customWidth="1"/>
    <col min="10505" max="10759" width="9.109375" style="67"/>
    <col min="10760" max="10760" width="10.6640625" style="67" customWidth="1"/>
    <col min="10761" max="11015" width="9.109375" style="67"/>
    <col min="11016" max="11016" width="10.6640625" style="67" customWidth="1"/>
    <col min="11017" max="11271" width="9.109375" style="67"/>
    <col min="11272" max="11272" width="10.6640625" style="67" customWidth="1"/>
    <col min="11273" max="11527" width="9.109375" style="67"/>
    <col min="11528" max="11528" width="10.6640625" style="67" customWidth="1"/>
    <col min="11529" max="11783" width="9.109375" style="67"/>
    <col min="11784" max="11784" width="10.6640625" style="67" customWidth="1"/>
    <col min="11785" max="12039" width="9.109375" style="67"/>
    <col min="12040" max="12040" width="10.6640625" style="67" customWidth="1"/>
    <col min="12041" max="12295" width="9.109375" style="67"/>
    <col min="12296" max="12296" width="10.6640625" style="67" customWidth="1"/>
    <col min="12297" max="12551" width="9.109375" style="67"/>
    <col min="12552" max="12552" width="10.6640625" style="67" customWidth="1"/>
    <col min="12553" max="12807" width="9.109375" style="67"/>
    <col min="12808" max="12808" width="10.6640625" style="67" customWidth="1"/>
    <col min="12809" max="13063" width="9.109375" style="67"/>
    <col min="13064" max="13064" width="10.6640625" style="67" customWidth="1"/>
    <col min="13065" max="13319" width="9.109375" style="67"/>
    <col min="13320" max="13320" width="10.6640625" style="67" customWidth="1"/>
    <col min="13321" max="13575" width="9.109375" style="67"/>
    <col min="13576" max="13576" width="10.6640625" style="67" customWidth="1"/>
    <col min="13577" max="13831" width="9.109375" style="67"/>
    <col min="13832" max="13832" width="10.6640625" style="67" customWidth="1"/>
    <col min="13833" max="14087" width="9.109375" style="67"/>
    <col min="14088" max="14088" width="10.6640625" style="67" customWidth="1"/>
    <col min="14089" max="14343" width="9.109375" style="67"/>
    <col min="14344" max="14344" width="10.6640625" style="67" customWidth="1"/>
    <col min="14345" max="14599" width="9.109375" style="67"/>
    <col min="14600" max="14600" width="10.6640625" style="67" customWidth="1"/>
    <col min="14601" max="14855" width="9.109375" style="67"/>
    <col min="14856" max="14856" width="10.6640625" style="67" customWidth="1"/>
    <col min="14857" max="15111" width="9.109375" style="67"/>
    <col min="15112" max="15112" width="10.6640625" style="67" customWidth="1"/>
    <col min="15113" max="15367" width="9.109375" style="67"/>
    <col min="15368" max="15368" width="10.6640625" style="67" customWidth="1"/>
    <col min="15369" max="15623" width="9.109375" style="67"/>
    <col min="15624" max="15624" width="10.6640625" style="67" customWidth="1"/>
    <col min="15625" max="15879" width="9.109375" style="67"/>
    <col min="15880" max="15880" width="10.6640625" style="67" customWidth="1"/>
    <col min="15881" max="16135" width="9.109375" style="67"/>
    <col min="16136" max="16136" width="10.6640625" style="67" customWidth="1"/>
    <col min="16137" max="16384" width="9.109375" style="67"/>
  </cols>
  <sheetData>
    <row r="1" spans="1:25" x14ac:dyDescent="0.25">
      <c r="A1" s="66" t="s">
        <v>299</v>
      </c>
      <c r="B1" s="268" t="s">
        <v>402</v>
      </c>
      <c r="C1" s="368" t="s">
        <v>680</v>
      </c>
      <c r="D1" s="268" t="s">
        <v>684</v>
      </c>
      <c r="E1" s="369" t="s">
        <v>681</v>
      </c>
      <c r="F1" s="268" t="s">
        <v>48</v>
      </c>
      <c r="G1" s="368" t="s">
        <v>55</v>
      </c>
      <c r="H1" s="375" t="s">
        <v>687</v>
      </c>
      <c r="I1" s="303"/>
      <c r="J1" s="367" t="s">
        <v>690</v>
      </c>
      <c r="L1" s="303"/>
      <c r="M1" s="303"/>
      <c r="N1" s="307"/>
      <c r="O1" s="367"/>
    </row>
    <row r="2" spans="1:25" x14ac:dyDescent="0.25">
      <c r="A2" s="248" t="s">
        <v>668</v>
      </c>
      <c r="B2" s="72">
        <v>78</v>
      </c>
      <c r="C2" s="268" t="s">
        <v>679</v>
      </c>
      <c r="D2" s="268" t="s">
        <v>685</v>
      </c>
      <c r="E2" s="368" t="s">
        <v>682</v>
      </c>
      <c r="F2" s="268" t="s">
        <v>683</v>
      </c>
      <c r="G2" s="268" t="s">
        <v>692</v>
      </c>
      <c r="H2" s="376" t="s">
        <v>688</v>
      </c>
      <c r="I2" s="367"/>
      <c r="J2" s="303"/>
      <c r="K2" s="303"/>
      <c r="L2" s="303"/>
      <c r="M2" s="303"/>
      <c r="N2" s="303"/>
      <c r="O2" s="303"/>
    </row>
    <row r="3" spans="1:25" x14ac:dyDescent="0.25">
      <c r="A3" s="249" t="s">
        <v>678</v>
      </c>
      <c r="C3" s="370" t="s">
        <v>471</v>
      </c>
      <c r="D3" s="268" t="s">
        <v>304</v>
      </c>
      <c r="G3" s="373" t="s">
        <v>693</v>
      </c>
      <c r="H3" s="377" t="s">
        <v>679</v>
      </c>
      <c r="I3" s="303"/>
      <c r="J3" s="303"/>
      <c r="K3" s="303"/>
      <c r="L3" s="303"/>
      <c r="M3" s="303"/>
      <c r="N3" s="303"/>
      <c r="O3" s="303"/>
    </row>
    <row r="4" spans="1:25" ht="14.4" x14ac:dyDescent="0.3">
      <c r="A4" s="249"/>
      <c r="D4" s="370" t="s">
        <v>686</v>
      </c>
      <c r="E4" s="383" t="s">
        <v>431</v>
      </c>
      <c r="F4" s="379">
        <f>Drives!Z78</f>
        <v>0</v>
      </c>
      <c r="G4" s="378">
        <f>M18</f>
        <v>0</v>
      </c>
      <c r="H4" s="377" t="s">
        <v>689</v>
      </c>
      <c r="I4" s="303"/>
      <c r="J4" s="303"/>
      <c r="K4" s="258" t="s">
        <v>319</v>
      </c>
      <c r="L4" s="258" t="s">
        <v>171</v>
      </c>
      <c r="M4" s="258" t="s">
        <v>167</v>
      </c>
      <c r="N4" s="258" t="s">
        <v>320</v>
      </c>
      <c r="O4" s="258" t="s">
        <v>479</v>
      </c>
      <c r="P4" s="258" t="s">
        <v>321</v>
      </c>
      <c r="Q4" s="257"/>
      <c r="R4" s="258"/>
      <c r="S4" s="258" t="s">
        <v>322</v>
      </c>
      <c r="T4" s="258" t="s">
        <v>323</v>
      </c>
      <c r="U4" s="258" t="s">
        <v>324</v>
      </c>
      <c r="V4" s="258" t="s">
        <v>325</v>
      </c>
      <c r="W4" s="258" t="s">
        <v>326</v>
      </c>
      <c r="X4" s="258" t="s">
        <v>327</v>
      </c>
      <c r="Y4" s="258" t="s">
        <v>328</v>
      </c>
    </row>
    <row r="5" spans="1:25" x14ac:dyDescent="0.25">
      <c r="A5" s="249"/>
      <c r="C5" s="366"/>
      <c r="D5" s="370"/>
      <c r="E5" s="370"/>
      <c r="G5" s="333"/>
      <c r="H5" s="303"/>
      <c r="I5" s="303"/>
      <c r="J5" s="303"/>
      <c r="K5" s="303"/>
      <c r="L5" s="303"/>
      <c r="M5" s="303"/>
      <c r="N5" s="303"/>
      <c r="O5" s="303"/>
    </row>
    <row r="6" spans="1:25" x14ac:dyDescent="0.25">
      <c r="B6" s="268" t="s">
        <v>179</v>
      </c>
      <c r="C6" s="385">
        <f>Sum!AH4</f>
        <v>0</v>
      </c>
      <c r="D6" s="381"/>
      <c r="E6" s="371">
        <v>1</v>
      </c>
      <c r="F6" s="278">
        <f t="shared" ref="F6:F37" si="0">D6*E6*F$4</f>
        <v>0</v>
      </c>
      <c r="G6" s="278">
        <f>F6*G$4</f>
        <v>0</v>
      </c>
      <c r="H6" s="69">
        <f>G6</f>
        <v>0</v>
      </c>
      <c r="J6" s="249" t="s">
        <v>680</v>
      </c>
      <c r="K6" s="374">
        <f>Power!B16</f>
        <v>0</v>
      </c>
      <c r="L6" s="374">
        <f>Power!B16</f>
        <v>0</v>
      </c>
      <c r="M6" s="374">
        <f>Power!B20</f>
        <v>0</v>
      </c>
      <c r="N6" s="374">
        <f>Power!B17</f>
        <v>0</v>
      </c>
      <c r="O6" s="374">
        <f>Power!B18</f>
        <v>0</v>
      </c>
      <c r="P6" s="374">
        <f>Power!B19</f>
        <v>0</v>
      </c>
      <c r="Q6" s="374"/>
      <c r="R6" s="374"/>
      <c r="S6" s="374">
        <f>Power!B24</f>
        <v>0</v>
      </c>
      <c r="T6" s="374">
        <f>Power!B24</f>
        <v>0</v>
      </c>
      <c r="U6" s="374">
        <f>Power!B25</f>
        <v>0</v>
      </c>
      <c r="V6" s="374">
        <f>Power!B26</f>
        <v>0</v>
      </c>
      <c r="W6" s="374">
        <f>Power!B27</f>
        <v>0</v>
      </c>
      <c r="X6" s="374">
        <f>Power!B28</f>
        <v>0</v>
      </c>
      <c r="Y6" s="374">
        <f>Power!B29</f>
        <v>0</v>
      </c>
    </row>
    <row r="7" spans="1:25" x14ac:dyDescent="0.25">
      <c r="B7" s="268" t="s">
        <v>178</v>
      </c>
      <c r="C7" s="385">
        <f>Sum!AH5</f>
        <v>0</v>
      </c>
      <c r="D7" s="381"/>
      <c r="E7" s="371">
        <v>1</v>
      </c>
      <c r="F7" s="278">
        <f t="shared" si="0"/>
        <v>0</v>
      </c>
      <c r="G7" s="278">
        <f t="shared" ref="G7:G57" si="1">F7*G$4</f>
        <v>0</v>
      </c>
      <c r="H7" s="69">
        <f t="shared" ref="H7:H57" si="2">G7</f>
        <v>0</v>
      </c>
      <c r="J7" s="249" t="s">
        <v>703</v>
      </c>
    </row>
    <row r="8" spans="1:25" x14ac:dyDescent="0.25">
      <c r="B8" s="268" t="s">
        <v>180</v>
      </c>
      <c r="C8" s="385">
        <f>Sum!AH6</f>
        <v>0</v>
      </c>
      <c r="D8" s="381"/>
      <c r="E8" s="371">
        <v>1</v>
      </c>
      <c r="F8" s="278">
        <f t="shared" si="0"/>
        <v>0</v>
      </c>
      <c r="G8" s="278">
        <f t="shared" si="1"/>
        <v>0</v>
      </c>
      <c r="H8" s="69">
        <f t="shared" si="2"/>
        <v>0</v>
      </c>
      <c r="I8" s="67" t="s">
        <v>53</v>
      </c>
      <c r="J8" s="249" t="s">
        <v>691</v>
      </c>
      <c r="K8" s="381"/>
      <c r="L8" s="381"/>
      <c r="M8" s="381"/>
      <c r="N8" s="381"/>
      <c r="O8" s="381"/>
      <c r="P8" s="381"/>
      <c r="Q8" s="381"/>
      <c r="R8" s="381"/>
      <c r="S8" s="381">
        <v>389.49475566599824</v>
      </c>
      <c r="T8" s="381">
        <v>389.49475566599824</v>
      </c>
      <c r="U8" s="381">
        <v>13.982489048806684</v>
      </c>
      <c r="V8" s="381">
        <v>26.873277817198748</v>
      </c>
      <c r="W8" s="381">
        <v>389.74565384531957</v>
      </c>
      <c r="X8" s="381">
        <v>390.67102241138389</v>
      </c>
      <c r="Y8" s="381">
        <v>6.8950808179798422</v>
      </c>
    </row>
    <row r="9" spans="1:25" x14ac:dyDescent="0.25">
      <c r="B9" s="67">
        <v>2</v>
      </c>
      <c r="C9" s="385">
        <f>Sum!AH7</f>
        <v>0</v>
      </c>
      <c r="D9" s="381"/>
      <c r="E9" s="372">
        <v>1</v>
      </c>
      <c r="F9" s="278">
        <f t="shared" si="0"/>
        <v>0</v>
      </c>
      <c r="G9" s="278">
        <f t="shared" si="1"/>
        <v>0</v>
      </c>
      <c r="H9" s="69">
        <f t="shared" si="2"/>
        <v>0</v>
      </c>
      <c r="J9" s="249" t="s">
        <v>686</v>
      </c>
    </row>
    <row r="10" spans="1:25" x14ac:dyDescent="0.25">
      <c r="B10" s="67">
        <v>3</v>
      </c>
      <c r="C10" s="385">
        <f>Sum!AH8</f>
        <v>0</v>
      </c>
      <c r="D10" s="381"/>
      <c r="E10" s="372">
        <v>1</v>
      </c>
      <c r="F10" s="278">
        <f t="shared" si="0"/>
        <v>0</v>
      </c>
      <c r="G10" s="278">
        <f t="shared" si="1"/>
        <v>0</v>
      </c>
      <c r="H10" s="69">
        <f t="shared" si="2"/>
        <v>0</v>
      </c>
      <c r="S10" s="249" t="s">
        <v>699</v>
      </c>
    </row>
    <row r="11" spans="1:25" x14ac:dyDescent="0.25">
      <c r="B11" s="67">
        <v>4</v>
      </c>
      <c r="C11" s="385">
        <f>Sum!AH9</f>
        <v>0</v>
      </c>
      <c r="D11" s="381"/>
      <c r="E11" s="372">
        <v>1</v>
      </c>
      <c r="F11" s="278">
        <f t="shared" si="0"/>
        <v>0</v>
      </c>
      <c r="G11" s="278">
        <f t="shared" si="1"/>
        <v>0</v>
      </c>
      <c r="H11" s="69">
        <f t="shared" si="2"/>
        <v>0</v>
      </c>
      <c r="J11" s="249" t="s">
        <v>697</v>
      </c>
      <c r="K11" s="69">
        <f t="shared" ref="K11:P11" si="3">K8*$F4</f>
        <v>0</v>
      </c>
      <c r="L11" s="69">
        <f t="shared" si="3"/>
        <v>0</v>
      </c>
      <c r="M11" s="69">
        <f t="shared" si="3"/>
        <v>0</v>
      </c>
      <c r="N11" s="69">
        <f t="shared" si="3"/>
        <v>0</v>
      </c>
      <c r="O11" s="69">
        <f t="shared" si="3"/>
        <v>0</v>
      </c>
      <c r="P11" s="69">
        <f t="shared" si="3"/>
        <v>0</v>
      </c>
      <c r="Q11" s="69"/>
      <c r="R11" s="69"/>
      <c r="S11" s="69">
        <f t="shared" ref="S11:X11" si="4">S8*$F4*$M18</f>
        <v>0</v>
      </c>
      <c r="T11" s="69">
        <f t="shared" si="4"/>
        <v>0</v>
      </c>
      <c r="U11" s="69">
        <f t="shared" si="4"/>
        <v>0</v>
      </c>
      <c r="V11" s="69">
        <f t="shared" si="4"/>
        <v>0</v>
      </c>
      <c r="W11" s="69">
        <f t="shared" si="4"/>
        <v>0</v>
      </c>
      <c r="X11" s="69">
        <f t="shared" si="4"/>
        <v>0</v>
      </c>
      <c r="Y11" s="69">
        <f>Y8*$F4</f>
        <v>0</v>
      </c>
    </row>
    <row r="12" spans="1:25" x14ac:dyDescent="0.25">
      <c r="B12" s="67">
        <v>5</v>
      </c>
      <c r="C12" s="385">
        <f>Sum!AH10</f>
        <v>0</v>
      </c>
      <c r="D12" s="381"/>
      <c r="E12" s="384">
        <f>IF(E$4="Y",-1,1)</f>
        <v>-1</v>
      </c>
      <c r="F12" s="278">
        <f t="shared" si="0"/>
        <v>0</v>
      </c>
      <c r="G12" s="278">
        <f t="shared" si="1"/>
        <v>0</v>
      </c>
      <c r="H12" s="69">
        <f t="shared" si="2"/>
        <v>0</v>
      </c>
      <c r="J12" s="249" t="s">
        <v>698</v>
      </c>
    </row>
    <row r="13" spans="1:25" x14ac:dyDescent="0.25">
      <c r="B13" s="67">
        <v>6</v>
      </c>
      <c r="C13" s="385">
        <f>Sum!AH11</f>
        <v>0</v>
      </c>
      <c r="D13" s="381"/>
      <c r="E13" s="372">
        <v>1</v>
      </c>
      <c r="F13" s="278">
        <f t="shared" si="0"/>
        <v>0</v>
      </c>
      <c r="G13" s="278">
        <f t="shared" si="1"/>
        <v>0</v>
      </c>
      <c r="H13" s="69">
        <f t="shared" si="2"/>
        <v>0</v>
      </c>
      <c r="J13" s="249" t="s">
        <v>702</v>
      </c>
    </row>
    <row r="14" spans="1:25" x14ac:dyDescent="0.25">
      <c r="B14" s="67">
        <v>7</v>
      </c>
      <c r="C14" s="385">
        <f>Sum!AH12</f>
        <v>0</v>
      </c>
      <c r="D14" s="381"/>
      <c r="E14" s="384">
        <f>IF(E$4="Y",-1,1)</f>
        <v>-1</v>
      </c>
      <c r="F14" s="278">
        <f t="shared" si="0"/>
        <v>0</v>
      </c>
      <c r="G14" s="278">
        <f t="shared" si="1"/>
        <v>0</v>
      </c>
      <c r="H14" s="69">
        <f t="shared" si="2"/>
        <v>0</v>
      </c>
    </row>
    <row r="15" spans="1:25" x14ac:dyDescent="0.25">
      <c r="B15" s="67">
        <v>8</v>
      </c>
      <c r="C15" s="385">
        <f>Sum!AH13</f>
        <v>0</v>
      </c>
      <c r="D15" s="381"/>
      <c r="E15" s="372">
        <v>1</v>
      </c>
      <c r="F15" s="278">
        <f t="shared" si="0"/>
        <v>0</v>
      </c>
      <c r="G15" s="278">
        <f t="shared" si="1"/>
        <v>0</v>
      </c>
      <c r="H15" s="69">
        <f t="shared" si="2"/>
        <v>0</v>
      </c>
      <c r="K15" s="249" t="s">
        <v>694</v>
      </c>
      <c r="M15" s="382">
        <v>1</v>
      </c>
    </row>
    <row r="16" spans="1:25" x14ac:dyDescent="0.25">
      <c r="B16" s="67">
        <v>9</v>
      </c>
      <c r="C16" s="385">
        <f>Sum!AH14</f>
        <v>0</v>
      </c>
      <c r="D16" s="381"/>
      <c r="E16" s="372">
        <v>1</v>
      </c>
      <c r="F16" s="278">
        <f t="shared" si="0"/>
        <v>0</v>
      </c>
      <c r="G16" s="278">
        <f t="shared" si="1"/>
        <v>0</v>
      </c>
      <c r="H16" s="69">
        <f t="shared" si="2"/>
        <v>0</v>
      </c>
      <c r="K16" s="249" t="s">
        <v>695</v>
      </c>
      <c r="M16" s="382"/>
    </row>
    <row r="17" spans="2:13" x14ac:dyDescent="0.25">
      <c r="B17" s="67">
        <v>10</v>
      </c>
      <c r="C17" s="385">
        <f>Sum!AH15</f>
        <v>0</v>
      </c>
      <c r="D17" s="381"/>
      <c r="E17" s="372">
        <v>1</v>
      </c>
      <c r="F17" s="278">
        <f t="shared" si="0"/>
        <v>0</v>
      </c>
      <c r="G17" s="278">
        <f t="shared" si="1"/>
        <v>0</v>
      </c>
      <c r="H17" s="69">
        <f t="shared" si="2"/>
        <v>0</v>
      </c>
    </row>
    <row r="18" spans="2:13" x14ac:dyDescent="0.25">
      <c r="B18" s="67">
        <v>11</v>
      </c>
      <c r="C18" s="385">
        <f>Sum!AH16</f>
        <v>0</v>
      </c>
      <c r="D18" s="381"/>
      <c r="E18" s="372">
        <v>1</v>
      </c>
      <c r="F18" s="278">
        <f t="shared" si="0"/>
        <v>0</v>
      </c>
      <c r="G18" s="278">
        <f t="shared" si="1"/>
        <v>0</v>
      </c>
      <c r="H18" s="69">
        <f t="shared" si="2"/>
        <v>0</v>
      </c>
      <c r="K18" s="249" t="s">
        <v>696</v>
      </c>
      <c r="M18" s="380">
        <f>M16/M15</f>
        <v>0</v>
      </c>
    </row>
    <row r="19" spans="2:13" x14ac:dyDescent="0.25">
      <c r="B19" s="67">
        <v>12</v>
      </c>
      <c r="C19" s="385">
        <f>Sum!AH17</f>
        <v>0</v>
      </c>
      <c r="D19" s="381"/>
      <c r="E19" s="372">
        <v>1</v>
      </c>
      <c r="F19" s="278">
        <f t="shared" si="0"/>
        <v>0</v>
      </c>
      <c r="G19" s="278">
        <f t="shared" si="1"/>
        <v>0</v>
      </c>
      <c r="H19" s="69">
        <f t="shared" si="2"/>
        <v>0</v>
      </c>
    </row>
    <row r="20" spans="2:13" x14ac:dyDescent="0.25">
      <c r="B20" s="67">
        <v>13</v>
      </c>
      <c r="C20" s="385">
        <f>Sum!AH18</f>
        <v>0</v>
      </c>
      <c r="D20" s="381"/>
      <c r="E20" s="372">
        <v>1</v>
      </c>
      <c r="F20" s="278">
        <f t="shared" si="0"/>
        <v>0</v>
      </c>
      <c r="G20" s="278">
        <f t="shared" si="1"/>
        <v>0</v>
      </c>
      <c r="H20" s="69">
        <f t="shared" si="2"/>
        <v>0</v>
      </c>
    </row>
    <row r="21" spans="2:13" x14ac:dyDescent="0.25">
      <c r="B21" s="67">
        <v>14</v>
      </c>
      <c r="C21" s="385">
        <f>Sum!AH19</f>
        <v>0</v>
      </c>
      <c r="D21" s="381"/>
      <c r="E21" s="372">
        <v>1</v>
      </c>
      <c r="F21" s="278">
        <f t="shared" si="0"/>
        <v>0</v>
      </c>
      <c r="G21" s="278">
        <f t="shared" si="1"/>
        <v>0</v>
      </c>
      <c r="H21" s="69">
        <f t="shared" si="2"/>
        <v>0</v>
      </c>
      <c r="K21" s="249" t="s">
        <v>704</v>
      </c>
    </row>
    <row r="22" spans="2:13" x14ac:dyDescent="0.25">
      <c r="B22" s="67">
        <v>15</v>
      </c>
      <c r="C22" s="385">
        <f>Sum!AH20</f>
        <v>0</v>
      </c>
      <c r="D22" s="381"/>
      <c r="E22" s="372">
        <v>1</v>
      </c>
      <c r="F22" s="278">
        <f t="shared" si="0"/>
        <v>0</v>
      </c>
      <c r="G22" s="278">
        <f t="shared" si="1"/>
        <v>0</v>
      </c>
      <c r="H22" s="69">
        <f t="shared" si="2"/>
        <v>0</v>
      </c>
      <c r="L22" s="249" t="s">
        <v>705</v>
      </c>
    </row>
    <row r="23" spans="2:13" x14ac:dyDescent="0.25">
      <c r="B23" s="67">
        <v>16</v>
      </c>
      <c r="C23" s="385">
        <f>Sum!AH21</f>
        <v>0</v>
      </c>
      <c r="D23" s="381"/>
      <c r="E23" s="372">
        <v>1</v>
      </c>
      <c r="F23" s="278">
        <f t="shared" si="0"/>
        <v>0</v>
      </c>
      <c r="G23" s="278">
        <f t="shared" si="1"/>
        <v>0</v>
      </c>
      <c r="H23" s="69">
        <f t="shared" si="2"/>
        <v>0</v>
      </c>
      <c r="L23" s="386" t="s">
        <v>707</v>
      </c>
    </row>
    <row r="24" spans="2:13" x14ac:dyDescent="0.25">
      <c r="B24" s="67">
        <v>17</v>
      </c>
      <c r="C24" s="385">
        <f>Sum!AH22</f>
        <v>0</v>
      </c>
      <c r="D24" s="381"/>
      <c r="E24" s="384">
        <f>IF(E$4="Y",-1,1)</f>
        <v>-1</v>
      </c>
      <c r="F24" s="278">
        <f t="shared" si="0"/>
        <v>0</v>
      </c>
      <c r="G24" s="278">
        <f t="shared" si="1"/>
        <v>0</v>
      </c>
      <c r="H24" s="69">
        <f t="shared" si="2"/>
        <v>0</v>
      </c>
      <c r="L24" s="386" t="s">
        <v>706</v>
      </c>
    </row>
    <row r="25" spans="2:13" x14ac:dyDescent="0.25">
      <c r="B25" s="67">
        <v>18</v>
      </c>
      <c r="C25" s="385">
        <f>Sum!AH23</f>
        <v>0</v>
      </c>
      <c r="D25" s="381"/>
      <c r="E25" s="372">
        <v>1</v>
      </c>
      <c r="F25" s="278">
        <f t="shared" si="0"/>
        <v>0</v>
      </c>
      <c r="G25" s="278">
        <f t="shared" si="1"/>
        <v>0</v>
      </c>
      <c r="H25" s="69">
        <f t="shared" si="2"/>
        <v>0</v>
      </c>
    </row>
    <row r="26" spans="2:13" x14ac:dyDescent="0.25">
      <c r="B26" s="67">
        <v>19</v>
      </c>
      <c r="C26" s="385">
        <f>Sum!AH24</f>
        <v>0</v>
      </c>
      <c r="D26" s="381"/>
      <c r="E26" s="384">
        <f>IF(E$4="Y",-1,1)</f>
        <v>-1</v>
      </c>
      <c r="F26" s="278">
        <f t="shared" si="0"/>
        <v>0</v>
      </c>
      <c r="G26" s="278">
        <f t="shared" si="1"/>
        <v>0</v>
      </c>
      <c r="H26" s="69">
        <f t="shared" si="2"/>
        <v>0</v>
      </c>
    </row>
    <row r="27" spans="2:13" x14ac:dyDescent="0.25">
      <c r="B27" s="67">
        <v>20</v>
      </c>
      <c r="C27" s="385">
        <f>Sum!AH25</f>
        <v>0</v>
      </c>
      <c r="D27" s="381"/>
      <c r="E27" s="372">
        <v>1</v>
      </c>
      <c r="F27" s="278">
        <f t="shared" si="0"/>
        <v>0</v>
      </c>
      <c r="G27" s="278">
        <f t="shared" si="1"/>
        <v>0</v>
      </c>
      <c r="H27" s="69">
        <f t="shared" si="2"/>
        <v>0</v>
      </c>
    </row>
    <row r="28" spans="2:13" x14ac:dyDescent="0.25">
      <c r="B28" s="67">
        <v>21</v>
      </c>
      <c r="C28" s="385">
        <f>Sum!AH26</f>
        <v>0</v>
      </c>
      <c r="D28" s="381"/>
      <c r="E28" s="372">
        <v>1</v>
      </c>
      <c r="F28" s="278">
        <f t="shared" si="0"/>
        <v>0</v>
      </c>
      <c r="G28" s="278">
        <f t="shared" si="1"/>
        <v>0</v>
      </c>
      <c r="H28" s="69">
        <f t="shared" si="2"/>
        <v>0</v>
      </c>
    </row>
    <row r="29" spans="2:13" x14ac:dyDescent="0.25">
      <c r="B29" s="67">
        <v>22</v>
      </c>
      <c r="C29" s="385">
        <f>Sum!AH27</f>
        <v>0</v>
      </c>
      <c r="D29" s="381"/>
      <c r="E29" s="372">
        <v>1</v>
      </c>
      <c r="F29" s="278">
        <f t="shared" si="0"/>
        <v>0</v>
      </c>
      <c r="G29" s="278">
        <f t="shared" si="1"/>
        <v>0</v>
      </c>
      <c r="H29" s="69">
        <f t="shared" si="2"/>
        <v>0</v>
      </c>
    </row>
    <row r="30" spans="2:13" x14ac:dyDescent="0.25">
      <c r="B30" s="67">
        <v>23</v>
      </c>
      <c r="C30" s="385">
        <f>Sum!AH28</f>
        <v>0</v>
      </c>
      <c r="D30" s="381"/>
      <c r="E30" s="372">
        <v>1</v>
      </c>
      <c r="F30" s="278">
        <f t="shared" si="0"/>
        <v>0</v>
      </c>
      <c r="G30" s="278">
        <f t="shared" si="1"/>
        <v>0</v>
      </c>
      <c r="H30" s="69">
        <f t="shared" si="2"/>
        <v>0</v>
      </c>
    </row>
    <row r="31" spans="2:13" x14ac:dyDescent="0.25">
      <c r="B31" s="67">
        <v>24</v>
      </c>
      <c r="C31" s="385">
        <f>Sum!AH29</f>
        <v>0</v>
      </c>
      <c r="D31" s="381"/>
      <c r="E31" s="372">
        <v>1</v>
      </c>
      <c r="F31" s="278">
        <f t="shared" si="0"/>
        <v>0</v>
      </c>
      <c r="G31" s="278">
        <f t="shared" si="1"/>
        <v>0</v>
      </c>
      <c r="H31" s="69">
        <f t="shared" si="2"/>
        <v>0</v>
      </c>
    </row>
    <row r="32" spans="2:13" x14ac:dyDescent="0.25">
      <c r="B32" s="67">
        <v>25</v>
      </c>
      <c r="C32" s="385">
        <f>Sum!AH30</f>
        <v>0</v>
      </c>
      <c r="D32" s="381"/>
      <c r="E32" s="372">
        <v>1</v>
      </c>
      <c r="F32" s="278">
        <f t="shared" si="0"/>
        <v>0</v>
      </c>
      <c r="G32" s="278">
        <f t="shared" si="1"/>
        <v>0</v>
      </c>
      <c r="H32" s="69">
        <f t="shared" si="2"/>
        <v>0</v>
      </c>
    </row>
    <row r="33" spans="2:8" x14ac:dyDescent="0.25">
      <c r="B33" s="67">
        <v>26</v>
      </c>
      <c r="C33" s="385">
        <f>Sum!AH31</f>
        <v>0</v>
      </c>
      <c r="D33" s="381"/>
      <c r="E33" s="372">
        <v>1</v>
      </c>
      <c r="F33" s="278">
        <f t="shared" si="0"/>
        <v>0</v>
      </c>
      <c r="G33" s="278">
        <f t="shared" si="1"/>
        <v>0</v>
      </c>
      <c r="H33" s="69">
        <f t="shared" si="2"/>
        <v>0</v>
      </c>
    </row>
    <row r="34" spans="2:8" x14ac:dyDescent="0.25">
      <c r="B34" s="67">
        <v>27</v>
      </c>
      <c r="C34" s="385">
        <f>Sum!AH32</f>
        <v>0</v>
      </c>
      <c r="D34" s="381"/>
      <c r="E34" s="372">
        <v>1</v>
      </c>
      <c r="F34" s="278">
        <f t="shared" si="0"/>
        <v>0</v>
      </c>
      <c r="G34" s="278">
        <f t="shared" si="1"/>
        <v>0</v>
      </c>
      <c r="H34" s="69">
        <f t="shared" si="2"/>
        <v>0</v>
      </c>
    </row>
    <row r="35" spans="2:8" x14ac:dyDescent="0.25">
      <c r="B35" s="67">
        <v>28</v>
      </c>
      <c r="C35" s="385">
        <f>Sum!AH33</f>
        <v>0</v>
      </c>
      <c r="D35" s="381"/>
      <c r="E35" s="372">
        <v>1</v>
      </c>
      <c r="F35" s="278">
        <f t="shared" si="0"/>
        <v>0</v>
      </c>
      <c r="G35" s="278">
        <f t="shared" si="1"/>
        <v>0</v>
      </c>
      <c r="H35" s="69">
        <f t="shared" si="2"/>
        <v>0</v>
      </c>
    </row>
    <row r="36" spans="2:8" x14ac:dyDescent="0.25">
      <c r="B36" s="67">
        <v>29</v>
      </c>
      <c r="C36" s="385">
        <f>Sum!AH34</f>
        <v>0</v>
      </c>
      <c r="D36" s="381"/>
      <c r="E36" s="372">
        <v>1</v>
      </c>
      <c r="F36" s="278">
        <f t="shared" si="0"/>
        <v>0</v>
      </c>
      <c r="G36" s="278">
        <f t="shared" si="1"/>
        <v>0</v>
      </c>
      <c r="H36" s="69">
        <f t="shared" si="2"/>
        <v>0</v>
      </c>
    </row>
    <row r="37" spans="2:8" x14ac:dyDescent="0.25">
      <c r="B37" s="67">
        <v>30</v>
      </c>
      <c r="C37" s="385">
        <f>Sum!AH35</f>
        <v>0</v>
      </c>
      <c r="D37" s="381"/>
      <c r="E37" s="372">
        <v>1</v>
      </c>
      <c r="F37" s="278">
        <f t="shared" si="0"/>
        <v>0</v>
      </c>
      <c r="G37" s="278">
        <f t="shared" si="1"/>
        <v>0</v>
      </c>
      <c r="H37" s="69">
        <f t="shared" si="2"/>
        <v>0</v>
      </c>
    </row>
    <row r="38" spans="2:8" x14ac:dyDescent="0.25">
      <c r="B38" s="67">
        <v>31</v>
      </c>
      <c r="C38" s="385">
        <f>Sum!AH36</f>
        <v>0</v>
      </c>
      <c r="D38" s="381"/>
      <c r="E38" s="372">
        <v>1</v>
      </c>
      <c r="F38" s="278">
        <f t="shared" ref="F38:F57" si="5">D38*E38*F$4</f>
        <v>0</v>
      </c>
      <c r="G38" s="278">
        <f t="shared" si="1"/>
        <v>0</v>
      </c>
      <c r="H38" s="69">
        <f t="shared" si="2"/>
        <v>0</v>
      </c>
    </row>
    <row r="39" spans="2:8" x14ac:dyDescent="0.25">
      <c r="B39" s="67">
        <v>32</v>
      </c>
      <c r="C39" s="385">
        <f>Sum!AH37</f>
        <v>0</v>
      </c>
      <c r="D39" s="381"/>
      <c r="E39" s="372">
        <v>1</v>
      </c>
      <c r="F39" s="278">
        <f t="shared" si="5"/>
        <v>0</v>
      </c>
      <c r="G39" s="278">
        <f t="shared" si="1"/>
        <v>0</v>
      </c>
      <c r="H39" s="69">
        <f t="shared" si="2"/>
        <v>0</v>
      </c>
    </row>
    <row r="40" spans="2:8" x14ac:dyDescent="0.25">
      <c r="B40" s="67">
        <v>33</v>
      </c>
      <c r="C40" s="385">
        <f>Sum!AH38</f>
        <v>0</v>
      </c>
      <c r="D40" s="381"/>
      <c r="E40" s="372">
        <v>1</v>
      </c>
      <c r="F40" s="278">
        <f t="shared" si="5"/>
        <v>0</v>
      </c>
      <c r="G40" s="278">
        <f t="shared" si="1"/>
        <v>0</v>
      </c>
      <c r="H40" s="69">
        <f t="shared" si="2"/>
        <v>0</v>
      </c>
    </row>
    <row r="41" spans="2:8" x14ac:dyDescent="0.25">
      <c r="B41" s="67">
        <v>34</v>
      </c>
      <c r="C41" s="385">
        <f>Sum!AH39</f>
        <v>0</v>
      </c>
      <c r="D41" s="381"/>
      <c r="E41" s="372">
        <v>1</v>
      </c>
      <c r="F41" s="278">
        <f t="shared" si="5"/>
        <v>0</v>
      </c>
      <c r="G41" s="278">
        <f t="shared" si="1"/>
        <v>0</v>
      </c>
      <c r="H41" s="69">
        <f t="shared" si="2"/>
        <v>0</v>
      </c>
    </row>
    <row r="42" spans="2:8" x14ac:dyDescent="0.25">
      <c r="B42" s="67">
        <v>35</v>
      </c>
      <c r="C42" s="385">
        <f>Sum!AH40</f>
        <v>0</v>
      </c>
      <c r="D42" s="381"/>
      <c r="E42" s="372">
        <v>1</v>
      </c>
      <c r="F42" s="278">
        <f t="shared" si="5"/>
        <v>0</v>
      </c>
      <c r="G42" s="278">
        <f t="shared" si="1"/>
        <v>0</v>
      </c>
      <c r="H42" s="69">
        <f t="shared" si="2"/>
        <v>0</v>
      </c>
    </row>
    <row r="43" spans="2:8" x14ac:dyDescent="0.25">
      <c r="B43" s="67">
        <v>36</v>
      </c>
      <c r="C43" s="385">
        <f>Sum!AH41</f>
        <v>0</v>
      </c>
      <c r="D43" s="381"/>
      <c r="E43" s="372">
        <v>1</v>
      </c>
      <c r="F43" s="278">
        <f t="shared" si="5"/>
        <v>0</v>
      </c>
      <c r="G43" s="278">
        <f t="shared" si="1"/>
        <v>0</v>
      </c>
      <c r="H43" s="69">
        <f t="shared" si="2"/>
        <v>0</v>
      </c>
    </row>
    <row r="44" spans="2:8" x14ac:dyDescent="0.25">
      <c r="B44" s="67">
        <v>37</v>
      </c>
      <c r="C44" s="385">
        <f>Sum!AH42</f>
        <v>0</v>
      </c>
      <c r="D44" s="381"/>
      <c r="E44" s="372">
        <v>1</v>
      </c>
      <c r="F44" s="278">
        <f t="shared" si="5"/>
        <v>0</v>
      </c>
      <c r="G44" s="278">
        <f t="shared" si="1"/>
        <v>0</v>
      </c>
      <c r="H44" s="69">
        <f t="shared" si="2"/>
        <v>0</v>
      </c>
    </row>
    <row r="45" spans="2:8" x14ac:dyDescent="0.25">
      <c r="B45" s="67">
        <v>38</v>
      </c>
      <c r="C45" s="385">
        <f>Sum!AH43</f>
        <v>0</v>
      </c>
      <c r="D45" s="381"/>
      <c r="E45" s="372">
        <v>1</v>
      </c>
      <c r="F45" s="278">
        <f t="shared" si="5"/>
        <v>0</v>
      </c>
      <c r="G45" s="278">
        <f t="shared" si="1"/>
        <v>0</v>
      </c>
      <c r="H45" s="69">
        <f t="shared" si="2"/>
        <v>0</v>
      </c>
    </row>
    <row r="46" spans="2:8" x14ac:dyDescent="0.25">
      <c r="B46" s="67">
        <v>39</v>
      </c>
      <c r="C46" s="385">
        <f>Sum!AH44</f>
        <v>0</v>
      </c>
      <c r="D46" s="381"/>
      <c r="E46" s="372">
        <v>1</v>
      </c>
      <c r="F46" s="278">
        <f t="shared" si="5"/>
        <v>0</v>
      </c>
      <c r="G46" s="278">
        <f t="shared" si="1"/>
        <v>0</v>
      </c>
      <c r="H46" s="69">
        <f t="shared" si="2"/>
        <v>0</v>
      </c>
    </row>
    <row r="47" spans="2:8" x14ac:dyDescent="0.25">
      <c r="B47" s="67">
        <v>40</v>
      </c>
      <c r="C47" s="385">
        <f>Sum!AH45</f>
        <v>0</v>
      </c>
      <c r="D47" s="381"/>
      <c r="E47" s="372">
        <v>1</v>
      </c>
      <c r="F47" s="278">
        <f t="shared" si="5"/>
        <v>0</v>
      </c>
      <c r="G47" s="278">
        <f t="shared" si="1"/>
        <v>0</v>
      </c>
      <c r="H47" s="69">
        <f t="shared" si="2"/>
        <v>0</v>
      </c>
    </row>
    <row r="48" spans="2:8" x14ac:dyDescent="0.25">
      <c r="B48" s="67">
        <v>41</v>
      </c>
      <c r="C48" s="385">
        <f>Sum!AH46</f>
        <v>0</v>
      </c>
      <c r="D48" s="381"/>
      <c r="E48" s="372">
        <v>1</v>
      </c>
      <c r="F48" s="278">
        <f t="shared" si="5"/>
        <v>0</v>
      </c>
      <c r="G48" s="278">
        <f t="shared" si="1"/>
        <v>0</v>
      </c>
      <c r="H48" s="69">
        <f t="shared" si="2"/>
        <v>0</v>
      </c>
    </row>
    <row r="49" spans="1:21" x14ac:dyDescent="0.25">
      <c r="B49" s="67">
        <v>42</v>
      </c>
      <c r="C49" s="385">
        <f>Sum!AH47</f>
        <v>0</v>
      </c>
      <c r="D49" s="381"/>
      <c r="E49" s="372">
        <v>1</v>
      </c>
      <c r="F49" s="278">
        <f t="shared" si="5"/>
        <v>0</v>
      </c>
      <c r="G49" s="278">
        <f t="shared" si="1"/>
        <v>0</v>
      </c>
      <c r="H49" s="69">
        <f t="shared" si="2"/>
        <v>0</v>
      </c>
    </row>
    <row r="50" spans="1:21" x14ac:dyDescent="0.25">
      <c r="B50" s="67">
        <v>43</v>
      </c>
      <c r="C50" s="385">
        <f>Sum!AH48</f>
        <v>0</v>
      </c>
      <c r="D50" s="381"/>
      <c r="E50" s="372">
        <v>1</v>
      </c>
      <c r="F50" s="278">
        <f t="shared" si="5"/>
        <v>0</v>
      </c>
      <c r="G50" s="278">
        <f t="shared" si="1"/>
        <v>0</v>
      </c>
      <c r="H50" s="69">
        <f t="shared" si="2"/>
        <v>0</v>
      </c>
    </row>
    <row r="51" spans="1:21" x14ac:dyDescent="0.25">
      <c r="B51" s="67">
        <v>44</v>
      </c>
      <c r="C51" s="385">
        <f>Sum!AH49</f>
        <v>0</v>
      </c>
      <c r="D51" s="381"/>
      <c r="E51" s="372">
        <v>1</v>
      </c>
      <c r="F51" s="278">
        <f t="shared" si="5"/>
        <v>0</v>
      </c>
      <c r="G51" s="278">
        <f t="shared" si="1"/>
        <v>0</v>
      </c>
      <c r="H51" s="69">
        <f t="shared" si="2"/>
        <v>0</v>
      </c>
    </row>
    <row r="52" spans="1:21" x14ac:dyDescent="0.25">
      <c r="B52" s="67">
        <v>45</v>
      </c>
      <c r="C52" s="385">
        <f>Sum!AH50</f>
        <v>0</v>
      </c>
      <c r="D52" s="381"/>
      <c r="E52" s="372">
        <v>1</v>
      </c>
      <c r="F52" s="278">
        <f t="shared" si="5"/>
        <v>0</v>
      </c>
      <c r="G52" s="278">
        <f t="shared" si="1"/>
        <v>0</v>
      </c>
      <c r="H52" s="69">
        <f t="shared" si="2"/>
        <v>0</v>
      </c>
    </row>
    <row r="53" spans="1:21" x14ac:dyDescent="0.25">
      <c r="B53" s="67">
        <v>46</v>
      </c>
      <c r="C53" s="385">
        <f>Sum!AH51</f>
        <v>0</v>
      </c>
      <c r="D53" s="381"/>
      <c r="E53" s="372">
        <v>1</v>
      </c>
      <c r="F53" s="278">
        <f t="shared" si="5"/>
        <v>0</v>
      </c>
      <c r="G53" s="278">
        <f t="shared" si="1"/>
        <v>0</v>
      </c>
      <c r="H53" s="69">
        <f t="shared" si="2"/>
        <v>0</v>
      </c>
    </row>
    <row r="54" spans="1:21" x14ac:dyDescent="0.25">
      <c r="B54" s="67">
        <v>47</v>
      </c>
      <c r="C54" s="385">
        <f>Sum!AH52</f>
        <v>0</v>
      </c>
      <c r="D54" s="381"/>
      <c r="E54" s="372">
        <v>1</v>
      </c>
      <c r="F54" s="278">
        <f t="shared" si="5"/>
        <v>0</v>
      </c>
      <c r="G54" s="278">
        <f t="shared" si="1"/>
        <v>0</v>
      </c>
      <c r="H54" s="69">
        <f t="shared" si="2"/>
        <v>0</v>
      </c>
    </row>
    <row r="55" spans="1:21" x14ac:dyDescent="0.25">
      <c r="B55" s="67">
        <v>48</v>
      </c>
      <c r="C55" s="385">
        <f>Sum!AH53</f>
        <v>0</v>
      </c>
      <c r="D55" s="381"/>
      <c r="E55" s="372">
        <v>1</v>
      </c>
      <c r="F55" s="278">
        <f t="shared" si="5"/>
        <v>0</v>
      </c>
      <c r="G55" s="278">
        <f t="shared" si="1"/>
        <v>0</v>
      </c>
      <c r="H55" s="69">
        <f t="shared" si="2"/>
        <v>0</v>
      </c>
    </row>
    <row r="56" spans="1:21" x14ac:dyDescent="0.25">
      <c r="B56" s="67">
        <v>49</v>
      </c>
      <c r="C56" s="385">
        <f>Sum!AH54</f>
        <v>0</v>
      </c>
      <c r="D56" s="381"/>
      <c r="E56" s="372">
        <v>1</v>
      </c>
      <c r="F56" s="278">
        <f t="shared" si="5"/>
        <v>0</v>
      </c>
      <c r="G56" s="278">
        <f t="shared" si="1"/>
        <v>0</v>
      </c>
      <c r="H56" s="69">
        <f t="shared" si="2"/>
        <v>0</v>
      </c>
    </row>
    <row r="57" spans="1:21" x14ac:dyDescent="0.25">
      <c r="B57" s="67">
        <v>50</v>
      </c>
      <c r="C57" s="385">
        <f>Sum!AH55</f>
        <v>0</v>
      </c>
      <c r="D57" s="381"/>
      <c r="E57" s="372">
        <v>1</v>
      </c>
      <c r="F57" s="278">
        <f t="shared" si="5"/>
        <v>0</v>
      </c>
      <c r="G57" s="278">
        <f t="shared" si="1"/>
        <v>0</v>
      </c>
      <c r="H57" s="69">
        <f t="shared" si="2"/>
        <v>0</v>
      </c>
    </row>
    <row r="59" spans="1:21" s="26" customFormat="1" x14ac:dyDescent="0.25">
      <c r="F59" s="26" t="s">
        <v>85</v>
      </c>
      <c r="G59" s="29">
        <f>IF(H6=0,0,100*H59/H6)</f>
        <v>0</v>
      </c>
      <c r="H59" s="29">
        <f>SQRT(SUMSQ(H9:H57))</f>
        <v>0</v>
      </c>
      <c r="I59" s="26" t="s">
        <v>52</v>
      </c>
      <c r="J59" s="29"/>
    </row>
    <row r="60" spans="1:21" s="26" customFormat="1" x14ac:dyDescent="0.25">
      <c r="F60" s="26" t="s">
        <v>86</v>
      </c>
      <c r="G60" s="29">
        <f>SQRT(SUMSQ(G6:G57))</f>
        <v>0</v>
      </c>
      <c r="H60" s="29">
        <f>SQRT(SUMSQ(H6:H57))</f>
        <v>0</v>
      </c>
      <c r="I60" s="26" t="s">
        <v>54</v>
      </c>
    </row>
    <row r="61" spans="1:21" s="26" customFormat="1" x14ac:dyDescent="0.25">
      <c r="G61" s="276" t="s">
        <v>87</v>
      </c>
      <c r="H61" s="276" t="s">
        <v>13</v>
      </c>
    </row>
    <row r="63" spans="1:21" ht="14.4" x14ac:dyDescent="0.3">
      <c r="A63" s="66"/>
      <c r="C63"/>
      <c r="D63"/>
      <c r="E63"/>
      <c r="F63"/>
      <c r="G63"/>
      <c r="H63"/>
      <c r="I63"/>
      <c r="J63"/>
      <c r="K63"/>
      <c r="L63"/>
      <c r="M63"/>
      <c r="N63"/>
      <c r="O63"/>
      <c r="P63"/>
      <c r="Q63"/>
      <c r="R63"/>
      <c r="S63"/>
      <c r="T63"/>
      <c r="U63"/>
    </row>
    <row r="64" spans="1:21" ht="14.4" x14ac:dyDescent="0.3">
      <c r="C64" s="1"/>
      <c r="D64" s="7"/>
      <c r="E64" s="7"/>
      <c r="F64" s="7"/>
      <c r="G64" s="7"/>
      <c r="H64" s="7"/>
      <c r="I64" s="7"/>
      <c r="J64" s="7"/>
      <c r="K64" s="7"/>
      <c r="L64" s="7"/>
      <c r="M64" s="7"/>
      <c r="N64" s="7"/>
      <c r="O64" s="7"/>
      <c r="P64" s="7"/>
      <c r="Q64" s="7"/>
      <c r="R64" s="7"/>
      <c r="S64" s="7"/>
      <c r="T64" s="7"/>
      <c r="U64" s="7"/>
    </row>
    <row r="65" spans="1:28" ht="14.4" x14ac:dyDescent="0.3">
      <c r="C65" s="1"/>
      <c r="D65"/>
      <c r="E65"/>
      <c r="F65"/>
      <c r="G65"/>
      <c r="H65"/>
      <c r="I65"/>
      <c r="J65"/>
      <c r="K65"/>
      <c r="L65"/>
      <c r="M65"/>
      <c r="N65"/>
      <c r="O65"/>
      <c r="P65"/>
      <c r="Q65"/>
      <c r="R65"/>
      <c r="S65"/>
      <c r="T65"/>
      <c r="U65"/>
    </row>
    <row r="66" spans="1:28" ht="14.4" x14ac:dyDescent="0.3">
      <c r="A66" s="26"/>
      <c r="B66" s="54"/>
      <c r="C66" s="216"/>
      <c r="D66" s="296"/>
      <c r="E66" s="296"/>
      <c r="F66" s="296"/>
      <c r="G66" s="296"/>
      <c r="H66" s="296"/>
      <c r="I66" s="296"/>
      <c r="J66" s="296"/>
      <c r="K66" s="296"/>
      <c r="L66" s="296"/>
      <c r="M66" s="296"/>
      <c r="N66" s="296"/>
      <c r="O66" s="296"/>
      <c r="P66" s="296"/>
      <c r="Q66" s="296"/>
      <c r="R66" s="296"/>
      <c r="S66" s="296"/>
      <c r="T66" s="296"/>
      <c r="U66" s="296"/>
      <c r="V66" s="303"/>
      <c r="W66" s="303"/>
      <c r="X66" s="303"/>
      <c r="Y66" s="303"/>
      <c r="Z66" s="303"/>
      <c r="AA66" s="303"/>
      <c r="AB66" s="303"/>
    </row>
    <row r="67" spans="1:28" ht="14.4" x14ac:dyDescent="0.3">
      <c r="A67" s="31"/>
      <c r="B67" s="26"/>
      <c r="C67" s="1"/>
      <c r="D67"/>
      <c r="E67"/>
      <c r="F67"/>
      <c r="G67"/>
      <c r="H67"/>
      <c r="I67"/>
      <c r="J67"/>
      <c r="K67"/>
      <c r="L67"/>
      <c r="M67"/>
      <c r="N67"/>
      <c r="O67"/>
      <c r="P67"/>
      <c r="Q67"/>
      <c r="R67"/>
      <c r="S67"/>
      <c r="T67"/>
      <c r="U67"/>
      <c r="V67" s="304"/>
      <c r="W67" s="305"/>
      <c r="X67" s="305"/>
      <c r="Y67" s="304"/>
      <c r="Z67" s="304"/>
      <c r="AA67" s="304"/>
      <c r="AB67" s="304"/>
    </row>
    <row r="68" spans="1:28" ht="14.4" x14ac:dyDescent="0.3">
      <c r="A68" s="43"/>
      <c r="B68" s="43"/>
      <c r="C68"/>
      <c r="D68" s="318"/>
      <c r="E68" s="318"/>
      <c r="F68" s="318"/>
      <c r="G68" s="318"/>
      <c r="H68" s="318"/>
      <c r="I68" s="318"/>
      <c r="J68" s="318"/>
      <c r="K68" s="318"/>
      <c r="L68" s="318"/>
      <c r="M68" s="318"/>
      <c r="N68" s="318"/>
      <c r="O68" s="318"/>
      <c r="P68" s="318"/>
      <c r="Q68" s="318"/>
      <c r="R68" s="318"/>
      <c r="S68" s="318"/>
      <c r="T68" s="318"/>
      <c r="U68" s="318"/>
      <c r="V68" s="307"/>
      <c r="W68" s="306"/>
      <c r="X68" s="306"/>
      <c r="Y68" s="306"/>
      <c r="Z68" s="306"/>
      <c r="AA68" s="306"/>
      <c r="AB68" s="306"/>
    </row>
    <row r="69" spans="1:28" ht="14.4" x14ac:dyDescent="0.3">
      <c r="A69" s="43"/>
      <c r="B69" s="43"/>
      <c r="C69"/>
      <c r="D69" s="318"/>
      <c r="E69" s="318"/>
      <c r="F69" s="318"/>
      <c r="G69" s="318"/>
      <c r="H69" s="318"/>
      <c r="I69" s="318"/>
      <c r="J69" s="318"/>
      <c r="K69" s="318"/>
      <c r="L69" s="318"/>
      <c r="M69" s="318"/>
      <c r="N69" s="318"/>
      <c r="O69" s="318"/>
      <c r="P69" s="318"/>
      <c r="Q69" s="318"/>
      <c r="R69" s="318"/>
      <c r="S69" s="318"/>
      <c r="T69" s="318"/>
      <c r="U69" s="318"/>
      <c r="V69" s="303"/>
      <c r="W69" s="303"/>
      <c r="X69" s="303"/>
      <c r="Y69" s="303"/>
      <c r="Z69" s="303"/>
      <c r="AA69" s="303"/>
      <c r="AB69" s="303"/>
    </row>
    <row r="70" spans="1:28" ht="14.4" x14ac:dyDescent="0.3">
      <c r="A70" s="43"/>
      <c r="B70" s="43"/>
      <c r="C70"/>
      <c r="D70" s="318"/>
      <c r="E70" s="318"/>
      <c r="F70" s="318"/>
      <c r="G70" s="318"/>
      <c r="H70" s="318"/>
      <c r="I70" s="318"/>
      <c r="J70" s="318"/>
      <c r="K70" s="318"/>
      <c r="L70" s="318"/>
      <c r="M70" s="318"/>
      <c r="N70" s="318"/>
      <c r="O70" s="318"/>
      <c r="P70" s="318"/>
      <c r="Q70" s="318"/>
      <c r="R70" s="318"/>
      <c r="S70" s="318"/>
      <c r="T70" s="318"/>
      <c r="U70" s="318"/>
      <c r="V70" s="303"/>
      <c r="W70" s="303"/>
      <c r="X70" s="303"/>
      <c r="Y70" s="303"/>
      <c r="Z70" s="303"/>
      <c r="AA70" s="303"/>
      <c r="AB70" s="303"/>
    </row>
    <row r="71" spans="1:28" ht="14.4" x14ac:dyDescent="0.3">
      <c r="A71" s="43"/>
      <c r="B71" s="43"/>
      <c r="C71"/>
      <c r="D71" s="318"/>
      <c r="E71" s="318"/>
      <c r="F71" s="318"/>
      <c r="G71" s="318"/>
      <c r="H71" s="318"/>
      <c r="I71" s="318"/>
      <c r="J71" s="318"/>
      <c r="K71" s="318"/>
      <c r="L71" s="318"/>
      <c r="M71" s="318"/>
      <c r="N71" s="318"/>
      <c r="O71" s="318"/>
      <c r="P71" s="318"/>
      <c r="Q71" s="318"/>
      <c r="R71" s="318"/>
      <c r="S71" s="318"/>
      <c r="T71" s="318"/>
      <c r="U71" s="318"/>
      <c r="V71" s="307"/>
      <c r="W71" s="306"/>
      <c r="X71" s="306"/>
      <c r="Y71" s="306"/>
      <c r="Z71" s="306"/>
      <c r="AA71" s="306"/>
      <c r="AB71" s="306"/>
    </row>
    <row r="72" spans="1:28" ht="14.4" x14ac:dyDescent="0.3">
      <c r="A72" s="43"/>
      <c r="B72" s="43"/>
      <c r="C72"/>
      <c r="D72" s="318"/>
      <c r="E72" s="318"/>
      <c r="F72" s="318"/>
      <c r="G72" s="318"/>
      <c r="H72" s="318"/>
      <c r="I72" s="318"/>
      <c r="J72" s="318"/>
      <c r="K72" s="318"/>
      <c r="L72" s="318"/>
      <c r="M72" s="318"/>
      <c r="N72" s="318"/>
      <c r="O72" s="318"/>
      <c r="P72" s="318"/>
      <c r="Q72" s="318"/>
      <c r="R72" s="318"/>
      <c r="S72" s="318"/>
      <c r="T72" s="318"/>
      <c r="U72" s="318"/>
      <c r="V72" s="303"/>
      <c r="W72" s="303"/>
      <c r="X72" s="303"/>
      <c r="Y72" s="303"/>
      <c r="Z72" s="303"/>
      <c r="AA72" s="303"/>
      <c r="AB72" s="303"/>
    </row>
    <row r="73" spans="1:28" ht="14.4" x14ac:dyDescent="0.3">
      <c r="A73" s="43"/>
      <c r="B73" s="43"/>
      <c r="C73"/>
      <c r="D73" s="318"/>
      <c r="E73" s="318"/>
      <c r="F73" s="318"/>
      <c r="G73" s="318"/>
      <c r="H73" s="318"/>
      <c r="I73" s="318"/>
      <c r="J73" s="318"/>
      <c r="K73" s="318"/>
      <c r="L73" s="318"/>
      <c r="M73" s="318"/>
      <c r="N73" s="318"/>
      <c r="O73" s="318"/>
      <c r="P73" s="318"/>
      <c r="Q73" s="318"/>
      <c r="R73" s="318"/>
      <c r="S73" s="318"/>
      <c r="T73" s="318"/>
      <c r="U73" s="318"/>
      <c r="V73" s="303"/>
      <c r="W73" s="303"/>
      <c r="X73" s="303"/>
      <c r="Y73" s="303"/>
      <c r="Z73" s="303"/>
      <c r="AA73" s="303"/>
      <c r="AB73" s="303"/>
    </row>
    <row r="74" spans="1:28" ht="14.4" x14ac:dyDescent="0.3">
      <c r="A74" s="43"/>
      <c r="B74" s="43"/>
      <c r="C74"/>
      <c r="D74" s="318"/>
      <c r="E74" s="318"/>
      <c r="F74" s="318"/>
      <c r="G74" s="318"/>
      <c r="H74" s="318"/>
      <c r="I74" s="318"/>
      <c r="J74" s="318"/>
      <c r="K74" s="318"/>
      <c r="L74" s="318"/>
      <c r="M74" s="318"/>
      <c r="N74" s="318"/>
      <c r="O74" s="318"/>
      <c r="P74" s="318"/>
      <c r="Q74" s="318"/>
      <c r="R74" s="318"/>
      <c r="S74" s="318"/>
      <c r="T74" s="318"/>
      <c r="U74" s="318"/>
      <c r="V74" s="303"/>
      <c r="W74" s="303"/>
      <c r="X74" s="303"/>
      <c r="Y74" s="303"/>
      <c r="Z74" s="303"/>
      <c r="AA74" s="303"/>
      <c r="AB74" s="303"/>
    </row>
    <row r="75" spans="1:28" ht="14.4" x14ac:dyDescent="0.3">
      <c r="A75" s="43"/>
      <c r="B75" s="43"/>
      <c r="C75"/>
      <c r="D75" s="318"/>
      <c r="E75" s="318"/>
      <c r="F75" s="318"/>
      <c r="G75" s="318"/>
      <c r="H75" s="318"/>
      <c r="I75" s="318"/>
      <c r="J75" s="318"/>
      <c r="K75" s="318"/>
      <c r="L75" s="318"/>
      <c r="M75" s="318"/>
      <c r="N75" s="318"/>
      <c r="O75" s="318"/>
      <c r="P75" s="318"/>
      <c r="Q75" s="318"/>
      <c r="R75" s="318"/>
      <c r="S75" s="318"/>
      <c r="T75" s="318"/>
      <c r="U75" s="318"/>
      <c r="V75" s="303"/>
      <c r="W75" s="303"/>
      <c r="X75" s="303"/>
      <c r="Y75" s="303"/>
      <c r="Z75" s="303"/>
      <c r="AA75" s="303"/>
      <c r="AB75" s="303"/>
    </row>
    <row r="76" spans="1:28" ht="14.4" x14ac:dyDescent="0.3">
      <c r="A76" s="43"/>
      <c r="B76" s="43"/>
      <c r="C76"/>
      <c r="D76" s="318"/>
      <c r="E76" s="318"/>
      <c r="F76" s="318"/>
      <c r="G76" s="318"/>
      <c r="H76" s="318"/>
      <c r="I76" s="318"/>
      <c r="J76" s="318"/>
      <c r="K76" s="318"/>
      <c r="L76" s="318"/>
      <c r="M76" s="318"/>
      <c r="N76" s="318"/>
      <c r="O76" s="318"/>
      <c r="P76" s="318"/>
      <c r="Q76" s="318"/>
      <c r="R76" s="318"/>
      <c r="S76" s="318"/>
      <c r="T76" s="318"/>
      <c r="U76" s="318"/>
      <c r="V76" s="303"/>
      <c r="W76" s="303"/>
      <c r="X76" s="303"/>
      <c r="Y76" s="303"/>
      <c r="Z76" s="303"/>
      <c r="AA76" s="303"/>
      <c r="AB76" s="303"/>
    </row>
    <row r="77" spans="1:28" ht="14.4" x14ac:dyDescent="0.3">
      <c r="A77" s="43"/>
      <c r="B77" s="43"/>
      <c r="C77"/>
      <c r="D77" s="318"/>
      <c r="E77" s="318"/>
      <c r="F77" s="318"/>
      <c r="G77" s="318"/>
      <c r="H77" s="318"/>
      <c r="I77" s="318"/>
      <c r="J77" s="318"/>
      <c r="K77" s="318"/>
      <c r="L77" s="318"/>
      <c r="M77" s="318"/>
      <c r="N77" s="318"/>
      <c r="O77" s="318"/>
      <c r="P77" s="318"/>
      <c r="Q77" s="318"/>
      <c r="R77" s="318"/>
      <c r="S77" s="318"/>
      <c r="T77" s="318"/>
      <c r="U77" s="318"/>
      <c r="V77" s="303"/>
      <c r="W77" s="303"/>
      <c r="X77" s="303"/>
      <c r="Y77" s="303"/>
      <c r="Z77" s="303"/>
      <c r="AA77" s="303"/>
      <c r="AB77" s="303"/>
    </row>
    <row r="78" spans="1:28" ht="14.4" x14ac:dyDescent="0.3">
      <c r="A78" s="43"/>
      <c r="B78" s="43"/>
      <c r="C78"/>
      <c r="D78" s="318"/>
      <c r="E78" s="318"/>
      <c r="F78" s="318"/>
      <c r="G78" s="318"/>
      <c r="H78" s="318"/>
      <c r="I78" s="318"/>
      <c r="J78" s="318"/>
      <c r="K78" s="318"/>
      <c r="L78" s="318"/>
      <c r="M78" s="318"/>
      <c r="N78" s="318"/>
      <c r="O78" s="318"/>
      <c r="P78" s="318"/>
      <c r="Q78" s="318"/>
      <c r="R78" s="318"/>
      <c r="S78" s="318"/>
      <c r="T78" s="318"/>
      <c r="U78" s="318"/>
      <c r="V78" s="303"/>
      <c r="W78" s="303"/>
      <c r="X78" s="303"/>
      <c r="Y78" s="303"/>
      <c r="Z78" s="303"/>
      <c r="AA78" s="303"/>
      <c r="AB78" s="303"/>
    </row>
    <row r="79" spans="1:28" ht="14.4" x14ac:dyDescent="0.3">
      <c r="A79" s="43"/>
      <c r="B79" s="43"/>
      <c r="C79"/>
      <c r="D79" s="318"/>
      <c r="E79" s="318"/>
      <c r="F79" s="318"/>
      <c r="G79" s="318"/>
      <c r="H79" s="318"/>
      <c r="I79" s="318"/>
      <c r="J79" s="318"/>
      <c r="K79" s="318"/>
      <c r="L79" s="318"/>
      <c r="M79" s="318"/>
      <c r="N79" s="318"/>
      <c r="O79" s="318"/>
      <c r="P79" s="318"/>
      <c r="Q79" s="318"/>
      <c r="R79" s="318"/>
      <c r="S79" s="318"/>
      <c r="T79" s="318"/>
      <c r="U79" s="318"/>
      <c r="V79" s="307"/>
      <c r="W79" s="306"/>
      <c r="X79" s="306"/>
      <c r="Y79" s="306"/>
      <c r="Z79" s="306"/>
      <c r="AA79" s="306"/>
      <c r="AB79" s="306"/>
    </row>
    <row r="80" spans="1:28" ht="14.4" x14ac:dyDescent="0.3">
      <c r="A80" s="43"/>
      <c r="B80" s="43"/>
      <c r="C80"/>
      <c r="D80" s="318"/>
      <c r="E80" s="318"/>
      <c r="F80" s="318"/>
      <c r="G80" s="318"/>
      <c r="H80" s="318"/>
      <c r="I80" s="318"/>
      <c r="J80" s="318"/>
      <c r="K80" s="318"/>
      <c r="L80" s="318"/>
      <c r="M80" s="318"/>
      <c r="N80" s="318"/>
      <c r="O80" s="318"/>
      <c r="P80" s="318"/>
      <c r="Q80" s="318"/>
      <c r="R80" s="318"/>
      <c r="S80" s="318"/>
      <c r="T80" s="318"/>
      <c r="U80" s="318"/>
      <c r="V80" s="303"/>
      <c r="W80" s="303"/>
      <c r="X80" s="303"/>
      <c r="Y80" s="303"/>
      <c r="Z80" s="303"/>
      <c r="AA80" s="303"/>
      <c r="AB80" s="303"/>
    </row>
    <row r="81" spans="1:28" ht="14.4" x14ac:dyDescent="0.3">
      <c r="A81" s="43"/>
      <c r="B81" s="43"/>
      <c r="C81"/>
      <c r="D81" s="318"/>
      <c r="E81" s="318"/>
      <c r="F81" s="318"/>
      <c r="G81" s="318"/>
      <c r="H81" s="318"/>
      <c r="I81" s="318"/>
      <c r="J81" s="318"/>
      <c r="K81" s="318"/>
      <c r="L81" s="318"/>
      <c r="M81" s="318"/>
      <c r="N81" s="318"/>
      <c r="O81" s="318"/>
      <c r="P81" s="318"/>
      <c r="Q81" s="318"/>
      <c r="R81" s="318"/>
      <c r="S81" s="318"/>
      <c r="T81" s="318"/>
      <c r="U81" s="318"/>
      <c r="V81" s="303"/>
      <c r="W81" s="303"/>
      <c r="X81" s="303"/>
      <c r="Y81" s="303"/>
      <c r="Z81" s="303"/>
      <c r="AA81" s="303"/>
      <c r="AB81" s="303"/>
    </row>
    <row r="82" spans="1:28" ht="14.4" x14ac:dyDescent="0.3">
      <c r="A82" s="43"/>
      <c r="B82" s="43"/>
      <c r="C82"/>
      <c r="D82" s="318"/>
      <c r="E82" s="318"/>
      <c r="F82" s="318"/>
      <c r="G82" s="318"/>
      <c r="H82" s="318"/>
      <c r="I82" s="318"/>
      <c r="J82" s="318"/>
      <c r="K82" s="318"/>
      <c r="L82" s="318"/>
      <c r="M82" s="318"/>
      <c r="N82" s="318"/>
      <c r="O82" s="318"/>
      <c r="P82" s="318"/>
      <c r="Q82" s="318"/>
      <c r="R82" s="318"/>
      <c r="S82" s="318"/>
      <c r="T82" s="318"/>
      <c r="U82" s="318"/>
      <c r="V82" s="303"/>
      <c r="W82" s="303"/>
      <c r="X82" s="303"/>
      <c r="Y82" s="303"/>
      <c r="Z82" s="303"/>
      <c r="AA82" s="303"/>
      <c r="AB82" s="303"/>
    </row>
    <row r="83" spans="1:28" ht="14.4" x14ac:dyDescent="0.3">
      <c r="A83" s="43"/>
      <c r="B83" s="43"/>
      <c r="C83"/>
      <c r="D83" s="318"/>
      <c r="E83" s="318"/>
      <c r="F83" s="318"/>
      <c r="G83" s="318"/>
      <c r="H83" s="318"/>
      <c r="I83" s="318"/>
      <c r="J83" s="318"/>
      <c r="K83" s="318"/>
      <c r="L83" s="318"/>
      <c r="M83" s="318"/>
      <c r="N83" s="318"/>
      <c r="O83" s="318"/>
      <c r="P83" s="318"/>
      <c r="Q83" s="318"/>
      <c r="R83" s="318"/>
      <c r="S83" s="318"/>
      <c r="T83" s="318"/>
      <c r="U83" s="318"/>
      <c r="V83" s="303"/>
      <c r="W83" s="303"/>
      <c r="X83" s="303"/>
      <c r="Y83" s="303"/>
      <c r="Z83" s="303"/>
      <c r="AA83" s="303"/>
      <c r="AB83" s="303"/>
    </row>
    <row r="84" spans="1:28" ht="14.4" x14ac:dyDescent="0.3">
      <c r="A84" s="43"/>
      <c r="B84" s="43"/>
      <c r="C84"/>
      <c r="D84" s="318"/>
      <c r="E84" s="318"/>
      <c r="F84" s="318"/>
      <c r="G84" s="318"/>
      <c r="H84" s="318"/>
      <c r="I84" s="318"/>
      <c r="J84" s="318"/>
      <c r="K84" s="318"/>
      <c r="L84" s="318"/>
      <c r="M84" s="318"/>
      <c r="N84" s="318"/>
      <c r="O84" s="318"/>
      <c r="P84" s="318"/>
      <c r="Q84" s="318"/>
      <c r="R84" s="318"/>
      <c r="S84" s="318"/>
      <c r="T84" s="318"/>
      <c r="U84" s="318"/>
      <c r="V84" s="303"/>
      <c r="W84" s="303"/>
      <c r="X84" s="303"/>
      <c r="Y84" s="303"/>
      <c r="Z84" s="303"/>
      <c r="AA84" s="303"/>
      <c r="AB84" s="303"/>
    </row>
    <row r="85" spans="1:28" ht="14.4" x14ac:dyDescent="0.3">
      <c r="A85" s="43"/>
      <c r="B85" s="43"/>
      <c r="C85"/>
      <c r="D85" s="318"/>
      <c r="E85" s="318"/>
      <c r="F85" s="318"/>
      <c r="G85" s="318"/>
      <c r="H85" s="318"/>
      <c r="I85" s="318"/>
      <c r="J85" s="318"/>
      <c r="K85" s="318"/>
      <c r="L85" s="318"/>
      <c r="M85" s="318"/>
      <c r="N85" s="318"/>
      <c r="O85" s="318"/>
      <c r="P85" s="318"/>
      <c r="Q85" s="318"/>
      <c r="R85" s="318"/>
      <c r="S85" s="318"/>
      <c r="T85" s="318"/>
      <c r="U85" s="318"/>
      <c r="V85" s="303"/>
      <c r="W85" s="303"/>
      <c r="X85" s="303"/>
      <c r="Y85" s="303"/>
      <c r="Z85" s="303"/>
      <c r="AA85" s="303"/>
      <c r="AB85" s="303"/>
    </row>
    <row r="86" spans="1:28" ht="14.4" x14ac:dyDescent="0.3">
      <c r="A86" s="43"/>
      <c r="B86" s="43"/>
      <c r="C86"/>
      <c r="D86" s="318"/>
      <c r="E86" s="318"/>
      <c r="F86" s="318"/>
      <c r="G86" s="318"/>
      <c r="H86" s="318"/>
      <c r="I86" s="318"/>
      <c r="J86" s="318"/>
      <c r="K86" s="318"/>
      <c r="L86" s="318"/>
      <c r="M86" s="318"/>
      <c r="N86" s="318"/>
      <c r="O86" s="318"/>
      <c r="P86" s="318"/>
      <c r="Q86" s="318"/>
      <c r="R86" s="318"/>
      <c r="S86" s="318"/>
      <c r="T86" s="318"/>
      <c r="U86" s="318"/>
      <c r="V86" s="303"/>
      <c r="W86" s="303"/>
      <c r="X86" s="303"/>
      <c r="Y86" s="303"/>
      <c r="Z86" s="303"/>
      <c r="AA86" s="303"/>
      <c r="AB86" s="303"/>
    </row>
    <row r="87" spans="1:28" ht="14.4" x14ac:dyDescent="0.3">
      <c r="A87" s="43"/>
      <c r="B87" s="43"/>
      <c r="C87"/>
      <c r="D87" s="318"/>
      <c r="E87" s="318"/>
      <c r="F87" s="318"/>
      <c r="G87" s="318"/>
      <c r="H87" s="318"/>
      <c r="I87" s="318"/>
      <c r="J87" s="318"/>
      <c r="K87" s="318"/>
      <c r="L87" s="318"/>
      <c r="M87" s="318"/>
      <c r="N87" s="318"/>
      <c r="O87" s="318"/>
      <c r="P87" s="318"/>
      <c r="Q87" s="318"/>
      <c r="R87" s="318"/>
      <c r="S87" s="318"/>
      <c r="T87" s="318"/>
      <c r="U87" s="318"/>
      <c r="V87" s="303"/>
      <c r="W87" s="303"/>
      <c r="X87" s="303"/>
      <c r="Y87" s="303"/>
      <c r="Z87" s="303"/>
      <c r="AA87" s="303"/>
      <c r="AB87" s="303"/>
    </row>
    <row r="88" spans="1:28" ht="14.4" x14ac:dyDescent="0.3">
      <c r="A88" s="43"/>
      <c r="B88" s="43"/>
      <c r="C88"/>
      <c r="D88" s="318"/>
      <c r="E88" s="318"/>
      <c r="F88" s="318"/>
      <c r="G88" s="318"/>
      <c r="H88" s="318"/>
      <c r="I88" s="318"/>
      <c r="J88" s="318"/>
      <c r="K88" s="318"/>
      <c r="L88" s="318"/>
      <c r="M88" s="318"/>
      <c r="N88" s="318"/>
      <c r="O88" s="318"/>
      <c r="P88" s="318"/>
      <c r="Q88" s="318"/>
      <c r="R88" s="318"/>
      <c r="S88" s="318"/>
      <c r="T88" s="318"/>
      <c r="U88" s="318"/>
      <c r="V88" s="303"/>
      <c r="W88" s="303"/>
      <c r="X88" s="303"/>
      <c r="Y88" s="303"/>
      <c r="Z88" s="303"/>
      <c r="AA88" s="303"/>
      <c r="AB88" s="303"/>
    </row>
    <row r="89" spans="1:28" ht="14.4" x14ac:dyDescent="0.3">
      <c r="A89" s="43"/>
      <c r="B89" s="43"/>
      <c r="C89"/>
      <c r="D89" s="318"/>
      <c r="E89" s="318"/>
      <c r="F89" s="318"/>
      <c r="G89" s="318"/>
      <c r="H89" s="318"/>
      <c r="I89" s="318"/>
      <c r="J89" s="318"/>
      <c r="K89" s="318"/>
      <c r="L89" s="318"/>
      <c r="M89" s="318"/>
      <c r="N89" s="318"/>
      <c r="O89" s="318"/>
      <c r="P89" s="318"/>
      <c r="Q89" s="318"/>
      <c r="R89" s="318"/>
      <c r="S89" s="318"/>
      <c r="T89" s="318"/>
      <c r="U89" s="318"/>
      <c r="V89" s="307"/>
      <c r="W89" s="306"/>
      <c r="X89" s="306"/>
      <c r="Y89" s="306"/>
      <c r="Z89" s="306"/>
      <c r="AA89" s="306"/>
      <c r="AB89" s="306"/>
    </row>
    <row r="90" spans="1:28" ht="14.4" x14ac:dyDescent="0.3">
      <c r="A90" s="43"/>
      <c r="B90" s="43"/>
      <c r="C90"/>
      <c r="D90" s="318"/>
      <c r="E90" s="318"/>
      <c r="F90" s="318"/>
      <c r="G90" s="318"/>
      <c r="H90" s="318"/>
      <c r="I90" s="318"/>
      <c r="J90" s="318"/>
      <c r="K90" s="318"/>
      <c r="L90" s="318"/>
      <c r="M90" s="318"/>
      <c r="N90" s="318"/>
      <c r="O90" s="318"/>
      <c r="P90" s="318"/>
      <c r="Q90" s="318"/>
      <c r="R90" s="318"/>
      <c r="S90" s="318"/>
      <c r="T90" s="318"/>
      <c r="U90" s="318"/>
      <c r="V90" s="303"/>
      <c r="W90" s="303"/>
      <c r="X90" s="303"/>
      <c r="Y90" s="303"/>
      <c r="Z90" s="303"/>
      <c r="AA90" s="303"/>
      <c r="AB90" s="303"/>
    </row>
    <row r="91" spans="1:28" ht="14.4" x14ac:dyDescent="0.3">
      <c r="A91" s="43"/>
      <c r="B91" s="43"/>
      <c r="C91"/>
      <c r="D91" s="318"/>
      <c r="E91" s="318"/>
      <c r="F91" s="318"/>
      <c r="G91" s="318"/>
      <c r="H91" s="318"/>
      <c r="I91" s="318"/>
      <c r="J91" s="318"/>
      <c r="K91" s="318"/>
      <c r="L91" s="318"/>
      <c r="M91" s="318"/>
      <c r="N91" s="318"/>
      <c r="O91" s="318"/>
      <c r="P91" s="318"/>
      <c r="Q91" s="318"/>
      <c r="R91" s="318"/>
      <c r="S91" s="318"/>
      <c r="T91" s="318"/>
      <c r="U91" s="318"/>
      <c r="V91" s="303"/>
      <c r="W91" s="303"/>
      <c r="X91" s="303"/>
      <c r="Y91" s="303"/>
      <c r="Z91" s="303"/>
      <c r="AA91" s="303"/>
      <c r="AB91" s="303"/>
    </row>
    <row r="92" spans="1:28" ht="14.4" x14ac:dyDescent="0.3">
      <c r="A92" s="43"/>
      <c r="B92" s="43"/>
      <c r="C92"/>
      <c r="D92" s="318"/>
      <c r="E92" s="318"/>
      <c r="F92" s="318"/>
      <c r="G92" s="318"/>
      <c r="H92" s="318"/>
      <c r="I92" s="318"/>
      <c r="J92" s="318"/>
      <c r="K92" s="318"/>
      <c r="L92" s="318"/>
      <c r="M92" s="318"/>
      <c r="N92" s="318"/>
      <c r="O92" s="318"/>
      <c r="P92" s="318"/>
      <c r="Q92" s="318"/>
      <c r="R92" s="318"/>
      <c r="S92" s="318"/>
      <c r="T92" s="318"/>
      <c r="U92" s="318"/>
      <c r="V92" s="303"/>
      <c r="W92" s="303"/>
      <c r="X92" s="303"/>
      <c r="Y92" s="303"/>
      <c r="Z92" s="303"/>
      <c r="AA92" s="303"/>
      <c r="AB92" s="303"/>
    </row>
    <row r="93" spans="1:28" ht="14.4" x14ac:dyDescent="0.3">
      <c r="A93" s="43"/>
      <c r="B93" s="43"/>
      <c r="C93"/>
      <c r="D93" s="318"/>
      <c r="E93" s="318"/>
      <c r="F93" s="318"/>
      <c r="G93" s="318"/>
      <c r="H93" s="318"/>
      <c r="I93" s="318"/>
      <c r="J93" s="318"/>
      <c r="K93" s="318"/>
      <c r="L93" s="318"/>
      <c r="M93" s="318"/>
      <c r="N93" s="318"/>
      <c r="O93" s="318"/>
      <c r="P93" s="318"/>
      <c r="Q93" s="318"/>
      <c r="R93" s="318"/>
      <c r="S93" s="318"/>
      <c r="T93" s="318"/>
      <c r="U93" s="318"/>
      <c r="V93" s="303"/>
      <c r="W93" s="303"/>
      <c r="X93" s="303"/>
      <c r="Y93" s="303"/>
      <c r="Z93" s="303"/>
      <c r="AA93" s="303"/>
      <c r="AB93" s="303"/>
    </row>
    <row r="94" spans="1:28" ht="14.4" x14ac:dyDescent="0.3">
      <c r="A94" s="43"/>
      <c r="B94" s="43"/>
      <c r="C94"/>
      <c r="D94" s="318"/>
      <c r="E94" s="318"/>
      <c r="F94" s="318"/>
      <c r="G94" s="318"/>
      <c r="H94" s="318"/>
      <c r="I94" s="318"/>
      <c r="J94" s="318"/>
      <c r="K94" s="318"/>
      <c r="L94" s="318"/>
      <c r="M94" s="318"/>
      <c r="N94" s="318"/>
      <c r="O94" s="318"/>
      <c r="P94" s="318"/>
      <c r="Q94" s="318"/>
      <c r="R94" s="318"/>
      <c r="S94" s="318"/>
      <c r="T94" s="318"/>
      <c r="U94" s="318"/>
      <c r="V94" s="303"/>
      <c r="W94" s="303"/>
      <c r="X94" s="303"/>
      <c r="Y94" s="303"/>
      <c r="Z94" s="303"/>
      <c r="AA94" s="303"/>
      <c r="AB94" s="303"/>
    </row>
    <row r="95" spans="1:28" ht="14.4" x14ac:dyDescent="0.3">
      <c r="A95" s="43"/>
      <c r="B95" s="43"/>
      <c r="C95"/>
      <c r="D95" s="318"/>
      <c r="E95" s="318"/>
      <c r="F95" s="318"/>
      <c r="G95" s="318"/>
      <c r="H95" s="318"/>
      <c r="I95" s="318"/>
      <c r="J95" s="318"/>
      <c r="K95" s="318"/>
      <c r="L95" s="318"/>
      <c r="M95" s="318"/>
      <c r="N95" s="318"/>
      <c r="O95" s="318"/>
      <c r="P95" s="318"/>
      <c r="Q95" s="318"/>
      <c r="R95" s="318"/>
      <c r="S95" s="318"/>
      <c r="T95" s="318"/>
      <c r="U95" s="318"/>
      <c r="V95" s="303"/>
      <c r="W95" s="303"/>
      <c r="X95" s="303"/>
      <c r="Y95" s="303"/>
      <c r="Z95" s="303"/>
      <c r="AA95" s="303"/>
      <c r="AB95" s="303"/>
    </row>
    <row r="96" spans="1:28" ht="14.4" x14ac:dyDescent="0.3">
      <c r="A96" s="43"/>
      <c r="B96" s="43"/>
      <c r="C96"/>
      <c r="D96" s="318"/>
      <c r="E96" s="318"/>
      <c r="F96" s="318"/>
      <c r="G96" s="318"/>
      <c r="H96" s="318"/>
      <c r="I96" s="318"/>
      <c r="J96" s="318"/>
      <c r="K96" s="318"/>
      <c r="L96" s="318"/>
      <c r="M96" s="318"/>
      <c r="N96" s="318"/>
      <c r="O96" s="318"/>
      <c r="P96" s="318"/>
      <c r="Q96" s="318"/>
      <c r="R96" s="318"/>
      <c r="S96" s="318"/>
      <c r="T96" s="318"/>
      <c r="U96" s="318"/>
      <c r="V96" s="303"/>
      <c r="W96" s="303"/>
      <c r="X96" s="303"/>
      <c r="Y96" s="303"/>
      <c r="Z96" s="303"/>
      <c r="AA96" s="303"/>
      <c r="AB96" s="303"/>
    </row>
    <row r="97" spans="1:28" ht="14.4" x14ac:dyDescent="0.3">
      <c r="A97" s="43"/>
      <c r="B97" s="43"/>
      <c r="C97"/>
      <c r="D97" s="318"/>
      <c r="E97" s="318"/>
      <c r="F97" s="318"/>
      <c r="G97" s="318"/>
      <c r="H97" s="318"/>
      <c r="I97" s="318"/>
      <c r="J97" s="318"/>
      <c r="K97" s="318"/>
      <c r="L97" s="318"/>
      <c r="M97" s="318"/>
      <c r="N97" s="318"/>
      <c r="O97" s="318"/>
      <c r="P97" s="318"/>
      <c r="Q97" s="318"/>
      <c r="R97" s="318"/>
      <c r="S97" s="318"/>
      <c r="T97" s="318"/>
      <c r="U97" s="318"/>
      <c r="V97" s="303"/>
      <c r="W97" s="303"/>
      <c r="X97" s="303"/>
      <c r="Y97" s="303"/>
      <c r="Z97" s="303"/>
      <c r="AA97" s="303"/>
      <c r="AB97" s="303"/>
    </row>
    <row r="98" spans="1:28" ht="14.4" x14ac:dyDescent="0.3">
      <c r="A98" s="43"/>
      <c r="B98" s="43"/>
      <c r="C98"/>
      <c r="D98" s="318"/>
      <c r="E98" s="318"/>
      <c r="F98" s="318"/>
      <c r="G98" s="318"/>
      <c r="H98" s="318"/>
      <c r="I98" s="318"/>
      <c r="J98" s="318"/>
      <c r="K98" s="318"/>
      <c r="L98" s="318"/>
      <c r="M98" s="318"/>
      <c r="N98" s="318"/>
      <c r="O98" s="318"/>
      <c r="P98" s="318"/>
      <c r="Q98" s="318"/>
      <c r="R98" s="318"/>
      <c r="S98" s="318"/>
      <c r="T98" s="318"/>
      <c r="U98" s="318"/>
      <c r="V98" s="303"/>
      <c r="W98" s="303"/>
      <c r="X98" s="303"/>
      <c r="Y98" s="303"/>
      <c r="Z98" s="303"/>
      <c r="AA98" s="303"/>
      <c r="AB98" s="303"/>
    </row>
    <row r="99" spans="1:28" ht="14.4" x14ac:dyDescent="0.3">
      <c r="A99" s="43"/>
      <c r="B99" s="43"/>
      <c r="C99"/>
      <c r="D99" s="318"/>
      <c r="E99" s="318"/>
      <c r="F99" s="318"/>
      <c r="G99" s="318"/>
      <c r="H99" s="318"/>
      <c r="I99" s="318"/>
      <c r="J99" s="318"/>
      <c r="K99" s="318"/>
      <c r="L99" s="318"/>
      <c r="M99" s="318"/>
      <c r="N99" s="318"/>
      <c r="O99" s="318"/>
      <c r="P99" s="318"/>
      <c r="Q99" s="318"/>
      <c r="R99" s="318"/>
      <c r="S99" s="318"/>
      <c r="T99" s="318"/>
      <c r="U99" s="318"/>
      <c r="V99" s="303"/>
      <c r="W99" s="303"/>
      <c r="X99" s="303"/>
      <c r="Y99" s="303"/>
      <c r="Z99" s="303"/>
      <c r="AA99" s="303"/>
      <c r="AB99" s="303"/>
    </row>
    <row r="100" spans="1:28" ht="14.4" x14ac:dyDescent="0.3">
      <c r="A100" s="43"/>
      <c r="B100" s="43"/>
      <c r="C100"/>
      <c r="D100" s="318"/>
      <c r="E100" s="318"/>
      <c r="F100" s="318"/>
      <c r="G100" s="318"/>
      <c r="H100" s="318"/>
      <c r="I100" s="318"/>
      <c r="J100" s="318"/>
      <c r="K100" s="318"/>
      <c r="L100" s="318"/>
      <c r="M100" s="318"/>
      <c r="N100" s="318"/>
      <c r="O100" s="318"/>
      <c r="P100" s="318"/>
      <c r="Q100" s="318"/>
      <c r="R100" s="318"/>
      <c r="S100" s="318"/>
      <c r="T100" s="318"/>
      <c r="U100" s="318"/>
      <c r="V100" s="303"/>
      <c r="W100" s="303"/>
      <c r="X100" s="303"/>
      <c r="Y100" s="303"/>
      <c r="Z100" s="303"/>
      <c r="AA100" s="303"/>
      <c r="AB100" s="303"/>
    </row>
    <row r="101" spans="1:28" ht="14.4" x14ac:dyDescent="0.3">
      <c r="A101" s="43"/>
      <c r="B101" s="43"/>
      <c r="C101"/>
      <c r="D101" s="318"/>
      <c r="E101" s="318"/>
      <c r="F101" s="318"/>
      <c r="G101" s="318"/>
      <c r="H101" s="318"/>
      <c r="I101" s="318"/>
      <c r="J101" s="318"/>
      <c r="K101" s="318"/>
      <c r="L101" s="318"/>
      <c r="M101" s="318"/>
      <c r="N101" s="318"/>
      <c r="O101" s="318"/>
      <c r="P101" s="318"/>
      <c r="Q101" s="318"/>
      <c r="R101" s="318"/>
      <c r="S101" s="318"/>
      <c r="T101" s="318"/>
      <c r="U101" s="318"/>
      <c r="V101" s="303"/>
      <c r="W101" s="303"/>
      <c r="X101" s="303"/>
      <c r="Y101" s="303"/>
      <c r="Z101" s="303"/>
      <c r="AA101" s="303"/>
      <c r="AB101" s="303"/>
    </row>
    <row r="102" spans="1:28" ht="14.4" x14ac:dyDescent="0.3">
      <c r="A102" s="43"/>
      <c r="B102" s="43"/>
      <c r="C102"/>
      <c r="D102" s="318"/>
      <c r="E102" s="318"/>
      <c r="F102" s="318"/>
      <c r="G102" s="318"/>
      <c r="H102" s="318"/>
      <c r="I102" s="318"/>
      <c r="J102" s="318"/>
      <c r="K102" s="318"/>
      <c r="L102" s="318"/>
      <c r="M102" s="318"/>
      <c r="N102" s="318"/>
      <c r="O102" s="318"/>
      <c r="P102" s="318"/>
      <c r="Q102" s="318"/>
      <c r="R102" s="318"/>
      <c r="S102" s="318"/>
      <c r="T102" s="318"/>
      <c r="U102" s="318"/>
      <c r="V102" s="303"/>
      <c r="W102" s="303"/>
      <c r="X102" s="303"/>
      <c r="Y102" s="303"/>
      <c r="Z102" s="303"/>
      <c r="AA102" s="303"/>
      <c r="AB102" s="303"/>
    </row>
    <row r="103" spans="1:28" ht="14.4" x14ac:dyDescent="0.3">
      <c r="A103" s="43"/>
      <c r="B103" s="43"/>
      <c r="C103"/>
      <c r="D103" s="318"/>
      <c r="E103" s="318"/>
      <c r="F103" s="318"/>
      <c r="G103" s="318"/>
      <c r="H103" s="318"/>
      <c r="I103" s="318"/>
      <c r="J103" s="318"/>
      <c r="K103" s="318"/>
      <c r="L103" s="318"/>
      <c r="M103" s="318"/>
      <c r="N103" s="318"/>
      <c r="O103" s="318"/>
      <c r="P103" s="318"/>
      <c r="Q103" s="318"/>
      <c r="R103" s="318"/>
      <c r="S103" s="318"/>
      <c r="T103" s="318"/>
      <c r="U103" s="318"/>
      <c r="V103" s="303"/>
      <c r="W103" s="303"/>
      <c r="X103" s="303"/>
      <c r="Y103" s="303"/>
      <c r="Z103" s="303"/>
      <c r="AA103" s="303"/>
      <c r="AB103" s="303"/>
    </row>
    <row r="104" spans="1:28" ht="14.4" x14ac:dyDescent="0.3">
      <c r="A104" s="43"/>
      <c r="B104" s="43"/>
      <c r="C104"/>
      <c r="D104" s="318"/>
      <c r="E104" s="318"/>
      <c r="F104" s="318"/>
      <c r="G104" s="318"/>
      <c r="H104" s="318"/>
      <c r="I104" s="318"/>
      <c r="J104" s="318"/>
      <c r="K104" s="318"/>
      <c r="L104" s="318"/>
      <c r="M104" s="318"/>
      <c r="N104" s="318"/>
      <c r="O104" s="318"/>
      <c r="P104" s="318"/>
      <c r="Q104" s="318"/>
      <c r="R104" s="318"/>
      <c r="S104" s="318"/>
      <c r="T104" s="318"/>
      <c r="U104" s="318"/>
      <c r="V104" s="303"/>
      <c r="W104" s="303"/>
      <c r="X104" s="303"/>
      <c r="Y104" s="303"/>
      <c r="Z104" s="303"/>
      <c r="AA104" s="303"/>
      <c r="AB104" s="303"/>
    </row>
    <row r="105" spans="1:28" ht="14.4" x14ac:dyDescent="0.3">
      <c r="A105" s="43"/>
      <c r="B105" s="43"/>
      <c r="C105"/>
      <c r="D105" s="318"/>
      <c r="E105" s="318"/>
      <c r="F105" s="318"/>
      <c r="G105" s="318"/>
      <c r="H105" s="318"/>
      <c r="I105" s="318"/>
      <c r="J105" s="318"/>
      <c r="K105" s="318"/>
      <c r="L105" s="318"/>
      <c r="M105" s="318"/>
      <c r="N105" s="318"/>
      <c r="O105" s="318"/>
      <c r="P105" s="318"/>
      <c r="Q105" s="318"/>
      <c r="R105" s="318"/>
      <c r="S105" s="318"/>
      <c r="T105" s="318"/>
      <c r="U105" s="318"/>
      <c r="V105" s="303"/>
      <c r="W105" s="303"/>
      <c r="X105" s="303"/>
      <c r="Y105" s="303"/>
      <c r="Z105" s="303"/>
      <c r="AA105" s="303"/>
      <c r="AB105" s="303"/>
    </row>
    <row r="106" spans="1:28" ht="14.4" x14ac:dyDescent="0.3">
      <c r="A106" s="43"/>
      <c r="B106" s="43"/>
      <c r="C106"/>
      <c r="D106" s="318"/>
      <c r="E106" s="318"/>
      <c r="F106" s="318"/>
      <c r="G106" s="318"/>
      <c r="H106" s="318"/>
      <c r="I106" s="318"/>
      <c r="J106" s="318"/>
      <c r="K106" s="318"/>
      <c r="L106" s="318"/>
      <c r="M106" s="318"/>
      <c r="N106" s="318"/>
      <c r="O106" s="318"/>
      <c r="P106" s="318"/>
      <c r="Q106" s="318"/>
      <c r="R106" s="318"/>
      <c r="S106" s="318"/>
      <c r="T106" s="318"/>
      <c r="U106" s="318"/>
      <c r="V106" s="303"/>
      <c r="W106" s="303"/>
      <c r="X106" s="303"/>
      <c r="Y106" s="303"/>
      <c r="Z106" s="303"/>
      <c r="AA106" s="303"/>
      <c r="AB106" s="303"/>
    </row>
    <row r="107" spans="1:28" ht="14.4" x14ac:dyDescent="0.3">
      <c r="A107" s="43"/>
      <c r="B107" s="43"/>
      <c r="C107"/>
      <c r="D107" s="318"/>
      <c r="E107" s="318"/>
      <c r="F107" s="318"/>
      <c r="G107" s="318"/>
      <c r="H107" s="318"/>
      <c r="I107" s="318"/>
      <c r="J107" s="318"/>
      <c r="K107" s="318"/>
      <c r="L107" s="318"/>
      <c r="M107" s="318"/>
      <c r="N107" s="318"/>
      <c r="O107" s="318"/>
      <c r="P107" s="318"/>
      <c r="Q107" s="318"/>
      <c r="R107" s="318"/>
      <c r="S107" s="318"/>
      <c r="T107" s="318"/>
      <c r="U107" s="318"/>
      <c r="V107" s="303"/>
      <c r="W107" s="303"/>
      <c r="X107" s="303"/>
      <c r="Y107" s="303"/>
      <c r="Z107" s="303"/>
      <c r="AA107" s="303"/>
      <c r="AB107" s="303"/>
    </row>
    <row r="108" spans="1:28" ht="14.4" x14ac:dyDescent="0.3">
      <c r="A108" s="43"/>
      <c r="B108" s="43"/>
      <c r="C108"/>
      <c r="D108" s="318"/>
      <c r="E108" s="318"/>
      <c r="F108" s="318"/>
      <c r="G108" s="318"/>
      <c r="H108" s="318"/>
      <c r="I108" s="318"/>
      <c r="J108" s="318"/>
      <c r="K108" s="318"/>
      <c r="L108" s="318"/>
      <c r="M108" s="318"/>
      <c r="N108" s="318"/>
      <c r="O108" s="318"/>
      <c r="P108" s="318"/>
      <c r="Q108" s="318"/>
      <c r="R108" s="318"/>
      <c r="S108" s="318"/>
      <c r="T108" s="318"/>
      <c r="U108" s="318"/>
      <c r="V108" s="303"/>
      <c r="W108" s="303"/>
      <c r="X108" s="303"/>
      <c r="Y108" s="303"/>
      <c r="Z108" s="303"/>
      <c r="AA108" s="303"/>
      <c r="AB108" s="303"/>
    </row>
    <row r="109" spans="1:28" ht="14.4" x14ac:dyDescent="0.3">
      <c r="A109" s="43"/>
      <c r="B109" s="43"/>
      <c r="C109"/>
      <c r="D109" s="318"/>
      <c r="E109" s="318"/>
      <c r="F109" s="318"/>
      <c r="G109" s="318"/>
      <c r="H109" s="318"/>
      <c r="I109" s="318"/>
      <c r="J109" s="318"/>
      <c r="K109" s="318"/>
      <c r="L109" s="318"/>
      <c r="M109" s="318"/>
      <c r="N109" s="318"/>
      <c r="O109" s="318"/>
      <c r="P109" s="318"/>
      <c r="Q109" s="318"/>
      <c r="R109" s="318"/>
      <c r="S109" s="318"/>
      <c r="T109" s="318"/>
      <c r="U109" s="318"/>
      <c r="V109" s="303"/>
      <c r="W109" s="303"/>
      <c r="X109" s="303"/>
      <c r="Y109" s="303"/>
      <c r="Z109" s="303"/>
      <c r="AA109" s="303"/>
      <c r="AB109" s="303"/>
    </row>
    <row r="110" spans="1:28" ht="14.4" x14ac:dyDescent="0.3">
      <c r="A110" s="43"/>
      <c r="B110" s="43"/>
      <c r="C110"/>
      <c r="D110" s="318"/>
      <c r="E110" s="318"/>
      <c r="F110" s="318"/>
      <c r="G110" s="318"/>
      <c r="H110" s="318"/>
      <c r="I110" s="318"/>
      <c r="J110" s="318"/>
      <c r="K110" s="318"/>
      <c r="L110" s="318"/>
      <c r="M110" s="318"/>
      <c r="N110" s="318"/>
      <c r="O110" s="318"/>
      <c r="P110" s="318"/>
      <c r="Q110" s="318"/>
      <c r="R110" s="318"/>
      <c r="S110" s="318"/>
      <c r="T110" s="318"/>
      <c r="U110" s="318"/>
      <c r="V110" s="303"/>
      <c r="W110" s="303"/>
      <c r="X110" s="303"/>
      <c r="Y110" s="303"/>
      <c r="Z110" s="303"/>
      <c r="AA110" s="303"/>
      <c r="AB110" s="303"/>
    </row>
    <row r="111" spans="1:28" ht="14.4" x14ac:dyDescent="0.3">
      <c r="A111" s="43"/>
      <c r="B111" s="43"/>
      <c r="C111"/>
      <c r="D111" s="318"/>
      <c r="E111" s="318"/>
      <c r="F111" s="318"/>
      <c r="G111" s="318"/>
      <c r="H111" s="318"/>
      <c r="I111" s="318"/>
      <c r="J111" s="318"/>
      <c r="K111" s="318"/>
      <c r="L111" s="318"/>
      <c r="M111" s="318"/>
      <c r="N111" s="318"/>
      <c r="O111" s="318"/>
      <c r="P111" s="318"/>
      <c r="Q111" s="318"/>
      <c r="R111" s="318"/>
      <c r="S111" s="318"/>
      <c r="T111" s="318"/>
      <c r="U111" s="318"/>
      <c r="V111" s="303"/>
      <c r="W111" s="303"/>
      <c r="X111" s="303"/>
      <c r="Y111" s="303"/>
      <c r="Z111" s="303"/>
      <c r="AA111" s="303"/>
      <c r="AB111" s="303"/>
    </row>
    <row r="112" spans="1:28" ht="14.4" x14ac:dyDescent="0.3">
      <c r="A112" s="43"/>
      <c r="B112" s="43"/>
      <c r="C112"/>
      <c r="D112" s="318"/>
      <c r="E112" s="318"/>
      <c r="F112" s="318"/>
      <c r="G112" s="318"/>
      <c r="H112" s="318"/>
      <c r="I112" s="318"/>
      <c r="J112" s="318"/>
      <c r="K112" s="318"/>
      <c r="L112" s="318"/>
      <c r="M112" s="318"/>
      <c r="N112" s="318"/>
      <c r="O112" s="318"/>
      <c r="P112" s="318"/>
      <c r="Q112" s="318"/>
      <c r="R112" s="318"/>
      <c r="S112" s="318"/>
      <c r="T112" s="318"/>
      <c r="U112" s="318"/>
      <c r="V112" s="303"/>
      <c r="W112" s="303"/>
      <c r="X112" s="303"/>
      <c r="Y112" s="303"/>
      <c r="Z112" s="303"/>
      <c r="AA112" s="303"/>
      <c r="AB112" s="303"/>
    </row>
    <row r="113" spans="1:31" ht="14.4" x14ac:dyDescent="0.3">
      <c r="A113" s="43"/>
      <c r="B113" s="43"/>
      <c r="C113"/>
      <c r="D113" s="318"/>
      <c r="E113" s="318"/>
      <c r="F113" s="318"/>
      <c r="G113" s="318"/>
      <c r="H113" s="318"/>
      <c r="I113" s="318"/>
      <c r="J113" s="318"/>
      <c r="K113" s="318"/>
      <c r="L113" s="318"/>
      <c r="M113" s="318"/>
      <c r="N113" s="318"/>
      <c r="O113" s="318"/>
      <c r="P113" s="318"/>
      <c r="Q113" s="318"/>
      <c r="R113" s="318"/>
      <c r="S113" s="318"/>
      <c r="T113" s="318"/>
      <c r="U113" s="318"/>
      <c r="V113" s="303"/>
      <c r="W113" s="303"/>
      <c r="X113" s="303"/>
      <c r="Y113" s="303"/>
      <c r="Z113" s="303"/>
      <c r="AA113" s="303"/>
      <c r="AB113" s="303"/>
    </row>
    <row r="114" spans="1:31" ht="14.4" x14ac:dyDescent="0.3">
      <c r="A114" s="43"/>
      <c r="B114" s="43"/>
      <c r="C114"/>
      <c r="D114" s="318"/>
      <c r="E114" s="318"/>
      <c r="F114" s="318"/>
      <c r="G114" s="318"/>
      <c r="H114" s="318"/>
      <c r="I114" s="318"/>
      <c r="J114" s="318"/>
      <c r="K114" s="318"/>
      <c r="L114" s="318"/>
      <c r="M114" s="318"/>
      <c r="N114" s="318"/>
      <c r="O114" s="318"/>
      <c r="P114" s="318"/>
      <c r="Q114" s="318"/>
      <c r="R114" s="318"/>
      <c r="S114" s="318"/>
      <c r="T114" s="318"/>
      <c r="U114" s="318"/>
      <c r="V114" s="303"/>
      <c r="W114" s="303"/>
      <c r="X114" s="303"/>
      <c r="Y114" s="303"/>
      <c r="Z114" s="303"/>
      <c r="AA114" s="303"/>
      <c r="AB114" s="303"/>
    </row>
    <row r="115" spans="1:31" ht="14.4" x14ac:dyDescent="0.3">
      <c r="A115" s="43"/>
      <c r="B115" s="43"/>
      <c r="C115"/>
      <c r="D115" s="318"/>
      <c r="E115" s="318"/>
      <c r="F115" s="318"/>
      <c r="G115" s="318"/>
      <c r="H115" s="318"/>
      <c r="I115" s="318"/>
      <c r="J115" s="318"/>
      <c r="K115" s="318"/>
      <c r="L115" s="318"/>
      <c r="M115" s="318"/>
      <c r="N115" s="318"/>
      <c r="O115" s="318"/>
      <c r="P115" s="318"/>
      <c r="Q115" s="318"/>
      <c r="R115" s="318"/>
      <c r="S115" s="318"/>
      <c r="T115" s="318"/>
      <c r="U115" s="318"/>
      <c r="V115" s="303"/>
      <c r="W115" s="303"/>
      <c r="X115" s="303"/>
      <c r="Y115" s="303"/>
      <c r="Z115" s="303"/>
      <c r="AA115" s="303"/>
      <c r="AB115" s="303"/>
    </row>
    <row r="116" spans="1:31" ht="14.4" x14ac:dyDescent="0.3">
      <c r="A116" s="43"/>
      <c r="B116" s="43"/>
      <c r="C116"/>
      <c r="D116" s="318"/>
      <c r="E116" s="318"/>
      <c r="F116" s="318"/>
      <c r="G116" s="318"/>
      <c r="H116" s="318"/>
      <c r="I116" s="318"/>
      <c r="J116" s="318"/>
      <c r="K116" s="318"/>
      <c r="L116" s="318"/>
      <c r="M116" s="318"/>
      <c r="N116" s="318"/>
      <c r="O116" s="318"/>
      <c r="P116" s="318"/>
      <c r="Q116" s="318"/>
      <c r="R116" s="318"/>
      <c r="S116" s="318"/>
      <c r="T116" s="318"/>
      <c r="U116" s="318"/>
      <c r="V116" s="303"/>
      <c r="W116" s="303"/>
      <c r="X116" s="303"/>
      <c r="Y116" s="303"/>
      <c r="Z116" s="303"/>
      <c r="AA116" s="303"/>
      <c r="AB116" s="303"/>
    </row>
    <row r="117" spans="1:31" x14ac:dyDescent="0.25">
      <c r="A117" s="71"/>
      <c r="B117" s="71"/>
      <c r="D117" s="74"/>
    </row>
    <row r="118" spans="1:31" x14ac:dyDescent="0.25">
      <c r="D118" s="70"/>
      <c r="E118" s="70"/>
      <c r="F118" s="70"/>
      <c r="G118" s="70"/>
      <c r="H118" s="70"/>
      <c r="I118" s="70"/>
      <c r="J118" s="70"/>
      <c r="K118" s="70"/>
      <c r="L118" s="70"/>
      <c r="M118" s="70"/>
      <c r="N118" s="70"/>
      <c r="O118" s="70"/>
      <c r="P118" s="70"/>
      <c r="Q118" s="70"/>
      <c r="R118" s="70"/>
      <c r="S118" s="70"/>
      <c r="T118" s="70"/>
      <c r="U118" s="70"/>
      <c r="V118" s="70"/>
      <c r="W118" s="70"/>
      <c r="X118" s="70"/>
      <c r="Y118" s="70"/>
      <c r="Z118" s="70"/>
      <c r="AA118" s="70"/>
      <c r="AB118" s="70"/>
      <c r="AC118" s="70"/>
      <c r="AD118" s="70"/>
      <c r="AE118" s="70"/>
    </row>
    <row r="119" spans="1:31" x14ac:dyDescent="0.25">
      <c r="AE119" s="70"/>
    </row>
    <row r="120" spans="1:31" x14ac:dyDescent="0.25">
      <c r="R120" s="71"/>
      <c r="V120" s="72"/>
      <c r="W120" s="73"/>
      <c r="X120" s="73"/>
      <c r="Y120" s="72"/>
      <c r="Z120" s="72"/>
      <c r="AA120" s="72"/>
      <c r="AB120" s="72"/>
      <c r="AE120" s="70"/>
    </row>
    <row r="121" spans="1:31" x14ac:dyDescent="0.25">
      <c r="R121" s="71"/>
      <c r="S121" s="75"/>
      <c r="T121" s="76"/>
      <c r="V121" s="69"/>
      <c r="W121" s="75"/>
      <c r="X121" s="75"/>
      <c r="Y121" s="75"/>
      <c r="Z121" s="75"/>
      <c r="AA121" s="75"/>
      <c r="AB121" s="75"/>
      <c r="AE121" s="70"/>
    </row>
    <row r="122" spans="1:31" x14ac:dyDescent="0.25">
      <c r="R122" s="71"/>
      <c r="T122" s="77"/>
    </row>
    <row r="123" spans="1:31" x14ac:dyDescent="0.25">
      <c r="R123" s="71"/>
      <c r="T123" s="77"/>
    </row>
    <row r="124" spans="1:31" x14ac:dyDescent="0.25">
      <c r="R124" s="71"/>
      <c r="S124" s="75"/>
      <c r="T124" s="76"/>
      <c r="V124" s="69"/>
      <c r="W124" s="75"/>
      <c r="X124" s="75"/>
      <c r="Y124" s="75"/>
      <c r="Z124" s="75"/>
      <c r="AA124" s="75"/>
      <c r="AB124" s="75"/>
    </row>
    <row r="125" spans="1:31" x14ac:dyDescent="0.25">
      <c r="AB125" s="75"/>
    </row>
    <row r="126" spans="1:31" x14ac:dyDescent="0.25">
      <c r="AB126" s="75"/>
    </row>
    <row r="127" spans="1:31" x14ac:dyDescent="0.25">
      <c r="AB127" s="75"/>
    </row>
  </sheetData>
  <sheetProtection password="EDB7" sheet="1" objects="1" scenarios="1"/>
  <pageMargins left="0.75" right="0.75" top="1" bottom="1" header="0.5" footer="0.5"/>
  <pageSetup scale="61" fitToHeight="2" orientation="portrait" r:id="rId1"/>
  <headerFooter alignWithMargins="0">
    <oddHeader>&amp;R&amp;D
&amp;T
rh</oddHeader>
    <oddFooter>&amp;L&amp;F
&amp;A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BB88"/>
  <sheetViews>
    <sheetView zoomScaleNormal="100" workbookViewId="0">
      <selection activeCell="N17" sqref="N17"/>
    </sheetView>
  </sheetViews>
  <sheetFormatPr defaultRowHeight="14.4" x14ac:dyDescent="0.3"/>
  <cols>
    <col min="1" max="1" width="3.5546875" customWidth="1"/>
    <col min="2" max="2" width="8.44140625" style="1" customWidth="1"/>
    <col min="3" max="3" width="26" style="1" customWidth="1"/>
    <col min="4" max="4" width="17.6640625" style="1" customWidth="1"/>
    <col min="5" max="6" width="14.33203125" style="1" customWidth="1"/>
    <col min="7" max="7" width="17.6640625" style="1" customWidth="1"/>
    <col min="11" max="11" width="13.88671875" customWidth="1"/>
    <col min="13" max="13" width="24.44140625" bestFit="1" customWidth="1"/>
    <col min="14" max="14" width="21.6640625" style="1" customWidth="1"/>
    <col min="15" max="15" width="28.88671875" customWidth="1"/>
    <col min="16" max="16" width="8.6640625" style="1" customWidth="1"/>
    <col min="17" max="17" width="8.6640625" customWidth="1"/>
    <col min="20" max="20" width="4.5546875" style="1" customWidth="1"/>
    <col min="21" max="21" width="21" style="215" bestFit="1" customWidth="1"/>
    <col min="22" max="22" width="18.44140625" style="215" customWidth="1"/>
    <col min="23" max="24" width="14.109375" style="1" customWidth="1"/>
    <col min="25" max="25" width="13.88671875" style="1" bestFit="1" customWidth="1"/>
    <col min="26" max="26" width="13.88671875" style="1" customWidth="1"/>
    <col min="27" max="27" width="13.5546875" style="1" customWidth="1"/>
    <col min="28" max="28" width="12.6640625" style="1" customWidth="1"/>
    <col min="30" max="30" width="4" customWidth="1"/>
    <col min="32" max="32" width="14.109375" bestFit="1" customWidth="1"/>
    <col min="33" max="33" width="14.6640625" bestFit="1" customWidth="1"/>
    <col min="35" max="35" width="10.88671875" bestFit="1" customWidth="1"/>
    <col min="36" max="36" width="10.5546875" bestFit="1" customWidth="1"/>
    <col min="38" max="38" width="4.33203125" customWidth="1"/>
    <col min="40" max="40" width="13.5546875" bestFit="1" customWidth="1"/>
    <col min="41" max="41" width="14.109375" bestFit="1" customWidth="1"/>
    <col min="42" max="42" width="10.5546875" bestFit="1" customWidth="1"/>
    <col min="47" max="47" width="4.5546875" customWidth="1"/>
    <col min="49" max="49" width="12.6640625" bestFit="1" customWidth="1"/>
    <col min="50" max="50" width="11.5546875" bestFit="1" customWidth="1"/>
    <col min="51" max="51" width="10.88671875" bestFit="1" customWidth="1"/>
    <col min="52" max="52" width="9.5546875" bestFit="1" customWidth="1"/>
    <col min="53" max="53" width="9.6640625" bestFit="1" customWidth="1"/>
  </cols>
  <sheetData>
    <row r="1" spans="1:54" ht="15" customHeight="1" x14ac:dyDescent="0.3">
      <c r="B1" s="247" t="s">
        <v>350</v>
      </c>
    </row>
    <row r="2" spans="1:54" x14ac:dyDescent="0.3">
      <c r="C2" s="17"/>
      <c r="H2" s="1"/>
      <c r="I2" s="1"/>
      <c r="J2" s="1"/>
      <c r="K2" s="1"/>
      <c r="L2" s="1"/>
      <c r="M2" s="1"/>
      <c r="S2" s="90"/>
      <c r="T2" s="92"/>
      <c r="AE2" s="90"/>
      <c r="AM2" s="90"/>
      <c r="AV2" s="90"/>
    </row>
    <row r="3" spans="1:54" x14ac:dyDescent="0.3">
      <c r="U3" s="98" t="s">
        <v>17</v>
      </c>
      <c r="W3" s="228">
        <f>SUM(W6:W88)</f>
        <v>0</v>
      </c>
      <c r="X3" s="240">
        <f>SUM(X6:X88)</f>
        <v>0</v>
      </c>
      <c r="Y3" s="240">
        <f>SUM(Y6:Y88)</f>
        <v>0</v>
      </c>
      <c r="Z3" s="229">
        <f>IF(X3=0,0,Y3/X3)</f>
        <v>0</v>
      </c>
      <c r="AA3" s="240">
        <f>SUM(AA6:AA88)</f>
        <v>0</v>
      </c>
      <c r="AB3" s="240" t="e">
        <f>AA3/W3</f>
        <v>#DIV/0!</v>
      </c>
      <c r="AC3" s="11" t="e">
        <f>AB3/3.28</f>
        <v>#DIV/0!</v>
      </c>
      <c r="AF3" s="239">
        <f>SUM(AF6:AF88)</f>
        <v>0</v>
      </c>
      <c r="AG3" s="239">
        <f>SUM(AG6:AG88)</f>
        <v>0</v>
      </c>
      <c r="AH3" s="56">
        <f>IF(AK3=0,0,AG3/SQRT(SUMSQ(AG3,AI3)))</f>
        <v>0</v>
      </c>
      <c r="AI3" s="239">
        <f>SUM(AI6:AI88)</f>
        <v>0</v>
      </c>
      <c r="AJ3" s="239">
        <f>SQRT(3)*P21*AQ3/1000</f>
        <v>0</v>
      </c>
      <c r="AK3" s="56">
        <f>SQRT(SUMSQ(AG3,AI3,AJ3))</f>
        <v>0</v>
      </c>
      <c r="AN3" s="239">
        <f>SUM(AN6:AN88)</f>
        <v>0</v>
      </c>
      <c r="AO3" s="239">
        <f>SUM(AO6:AO88)</f>
        <v>0</v>
      </c>
      <c r="AP3" s="239">
        <f>SUM(AP6:AP88)</f>
        <v>0</v>
      </c>
      <c r="AQ3" s="265">
        <f>Sum!AH107</f>
        <v>0</v>
      </c>
      <c r="AR3" s="239">
        <f>SQRT(SUMSQ(AO3:AP3))</f>
        <v>0</v>
      </c>
      <c r="AS3" s="56">
        <f>SQRT(SUMSQ(AO3,AP3,AQ3))</f>
        <v>0</v>
      </c>
      <c r="AT3" s="89">
        <f>IF(AR3=0,0,100*AQ3/AR3)</f>
        <v>0</v>
      </c>
      <c r="AZ3" s="322" t="s">
        <v>505</v>
      </c>
    </row>
    <row r="4" spans="1:54" x14ac:dyDescent="0.3">
      <c r="I4" s="17" t="s">
        <v>1152</v>
      </c>
    </row>
    <row r="5" spans="1:54" x14ac:dyDescent="0.3">
      <c r="B5" s="17" t="str">
        <f>Input!B25</f>
        <v>VFD #</v>
      </c>
      <c r="C5" s="17" t="str">
        <f>Input!F25</f>
        <v>Drive</v>
      </c>
      <c r="D5" s="17" t="str">
        <f>Input!G25</f>
        <v>Additional Filter</v>
      </c>
      <c r="E5" s="17" t="s">
        <v>301</v>
      </c>
      <c r="F5" s="17" t="s">
        <v>302</v>
      </c>
      <c r="G5" s="17" t="s">
        <v>300</v>
      </c>
      <c r="H5" s="17" t="str">
        <f>Input!H25</f>
        <v>Rated HP</v>
      </c>
      <c r="I5" s="17" t="str">
        <f>Input!I25</f>
        <v>% Load</v>
      </c>
      <c r="J5" s="17" t="s">
        <v>353</v>
      </c>
      <c r="K5" s="17" t="str">
        <f>Input!J25</f>
        <v>Input cable, ft</v>
      </c>
      <c r="M5" s="4" t="s">
        <v>156</v>
      </c>
      <c r="N5" s="17"/>
      <c r="O5" s="4" t="s">
        <v>223</v>
      </c>
      <c r="S5" s="257" t="s">
        <v>359</v>
      </c>
      <c r="T5" s="258"/>
      <c r="U5" s="258" t="s">
        <v>231</v>
      </c>
      <c r="V5" s="258" t="s">
        <v>232</v>
      </c>
      <c r="W5" s="258" t="s">
        <v>318</v>
      </c>
      <c r="X5" s="258" t="s">
        <v>31</v>
      </c>
      <c r="Y5" s="258" t="s">
        <v>49</v>
      </c>
      <c r="Z5" s="258" t="s">
        <v>50</v>
      </c>
      <c r="AA5" s="258" t="s">
        <v>32</v>
      </c>
      <c r="AB5" s="258" t="s">
        <v>27</v>
      </c>
      <c r="AC5" s="258" t="s">
        <v>38</v>
      </c>
      <c r="AD5" s="257"/>
      <c r="AE5" s="258"/>
      <c r="AF5" s="258" t="s">
        <v>319</v>
      </c>
      <c r="AG5" s="258" t="s">
        <v>171</v>
      </c>
      <c r="AH5" s="258" t="s">
        <v>167</v>
      </c>
      <c r="AI5" s="258" t="s">
        <v>320</v>
      </c>
      <c r="AJ5" s="258" t="s">
        <v>479</v>
      </c>
      <c r="AK5" s="258" t="s">
        <v>321</v>
      </c>
      <c r="AL5" s="257"/>
      <c r="AM5" s="258"/>
      <c r="AN5" s="258" t="s">
        <v>322</v>
      </c>
      <c r="AO5" s="258" t="s">
        <v>323</v>
      </c>
      <c r="AP5" s="258" t="s">
        <v>324</v>
      </c>
      <c r="AQ5" s="258" t="s">
        <v>325</v>
      </c>
      <c r="AR5" s="258" t="s">
        <v>326</v>
      </c>
      <c r="AS5" s="258" t="s">
        <v>327</v>
      </c>
      <c r="AT5" s="258" t="s">
        <v>328</v>
      </c>
      <c r="AU5" s="257"/>
      <c r="AV5" s="258"/>
      <c r="AW5" s="258" t="s">
        <v>103</v>
      </c>
      <c r="AX5" s="258" t="s">
        <v>107</v>
      </c>
      <c r="AY5" s="258" t="s">
        <v>329</v>
      </c>
      <c r="AZ5" s="258" t="s">
        <v>3</v>
      </c>
      <c r="BA5" s="258" t="s">
        <v>29</v>
      </c>
      <c r="BB5" s="258" t="s">
        <v>1</v>
      </c>
    </row>
    <row r="6" spans="1:54" x14ac:dyDescent="0.3">
      <c r="A6" s="1" t="str">
        <f t="shared" ref="A6:A37" si="0">IF(G6="","",IF(VLOOKUP(G6,S$5:T$88,2)=0,"",VLOOKUP(G6,S$5:T$88,2)))</f>
        <v/>
      </c>
      <c r="B6" s="1">
        <f>Input!B26</f>
        <v>1</v>
      </c>
      <c r="C6" s="1" t="str">
        <f>IF(Input!F26="","",Input!F26)</f>
        <v/>
      </c>
      <c r="D6" s="1" t="str">
        <f>IF(C6="","",IF(Input!G26="","none",Input!G26))</f>
        <v/>
      </c>
      <c r="E6" s="1" t="str">
        <f>IF(C6="6 Pulse w/ No Impedance","A",IF(C6="6 Pulse w/ 3% Impedance","B",IF(C6="6 Pulse w/ 5% Impedance","C",IF(C6="12 Pulse Drive","D",IF(C6="18 Pulse Drive","E",IF(C6="ULH (AFE) Drive","F",IF(C6="Custom System","G","")))))))</f>
        <v/>
      </c>
      <c r="F6" s="1" t="str">
        <f>IF(D6="none","01",IF(D6="1.5% AC Reactor","02",IF(D6="2.5% AC Reactor","03",IF(D6="3% AC Reactor","04",IF(D6="5% AC Reactor","05",IF(D6="7% AC Reactor","06",IF(D6="10% AC Reactor","07",IF(D6="7% THDi Passive Filter","08",IF(D6="5% THDi Passive Filter","09","")))))))))</f>
        <v/>
      </c>
      <c r="G6" s="1" t="str">
        <f>IF(I6=0,"",CONCATENATE(E6,F6))</f>
        <v/>
      </c>
      <c r="H6" s="8">
        <f>IF(G6="",0,IF(I6=0,0,Input!H26))</f>
        <v>0</v>
      </c>
      <c r="I6" s="235">
        <f>Input!I26</f>
        <v>1</v>
      </c>
      <c r="J6" s="8">
        <f t="shared" ref="J6:J37" si="1">H6*I6</f>
        <v>0</v>
      </c>
      <c r="K6" s="216">
        <f>IF(I6=0,$P$31,IF(Input!J26="",$P$31,Input!J26))</f>
        <v>32.799999999999997</v>
      </c>
      <c r="M6" t="s">
        <v>242</v>
      </c>
      <c r="N6" s="1" t="s">
        <v>13</v>
      </c>
      <c r="O6" t="s">
        <v>317</v>
      </c>
      <c r="P6" s="217" t="s">
        <v>308</v>
      </c>
      <c r="S6" s="2" t="s">
        <v>269</v>
      </c>
      <c r="T6" s="5"/>
      <c r="U6" s="259" t="str">
        <f>M6</f>
        <v>6 Pulse w/ No Impedance</v>
      </c>
      <c r="V6" s="259" t="str">
        <f t="shared" ref="V6:V14" si="2">O6</f>
        <v>none</v>
      </c>
      <c r="W6" s="1">
        <f t="shared" ref="W6:W14" si="3">COUNTIF(G$6:G$55,S6)</f>
        <v>0</v>
      </c>
      <c r="X6" s="1">
        <f t="shared" ref="X6:X14" si="4">SUMIF(G$6:G$55,S6,H$6:H$55)</f>
        <v>0</v>
      </c>
      <c r="Y6" s="1">
        <f t="shared" ref="Y6:Y14" si="5">SUMIF(G$6:G$55,S6,J$6:J$55)</f>
        <v>0</v>
      </c>
      <c r="Z6" s="218">
        <f>IF(X6=0,0,Y6/X6)</f>
        <v>0</v>
      </c>
      <c r="AA6" s="1">
        <f t="shared" ref="AA6:AA14" si="6">SUMIF(G$6:G$55,S6,K$6:K$55)</f>
        <v>0</v>
      </c>
      <c r="AB6" s="219">
        <f>IF(W6=0,0,AA6/W6)</f>
        <v>0</v>
      </c>
      <c r="AC6" s="7">
        <f>AB6/3.28</f>
        <v>0</v>
      </c>
      <c r="AE6" s="2" t="s">
        <v>269</v>
      </c>
      <c r="AF6" s="250">
        <f>X6*0.746/Instructions!E$194/Instructions!E$195</f>
        <v>0</v>
      </c>
      <c r="AG6" s="250">
        <f>Y6*0.746/Instructions!E$194/Instructions!E$195</f>
        <v>0</v>
      </c>
      <c r="AH6" s="250">
        <v>0.995</v>
      </c>
      <c r="AI6" s="250">
        <f>SQRT((AG6/AH6)^2-AG6^2)</f>
        <v>0</v>
      </c>
      <c r="AJ6" s="250">
        <f t="shared" ref="AJ6:AJ14" si="7">SQRT(3)*P$21*AQ6/1000</f>
        <v>0</v>
      </c>
      <c r="AK6" s="250">
        <f t="shared" ref="AK6:AK14" si="8">SQRT(SUMSQ(AG6,AI6,AJ6))</f>
        <v>0</v>
      </c>
      <c r="AL6" s="2"/>
      <c r="AM6" s="2" t="s">
        <v>269</v>
      </c>
      <c r="AN6" s="18">
        <f t="shared" ref="AN6:AN14" si="9">1000*AF6/(SQRT(3)*P$21)</f>
        <v>0</v>
      </c>
      <c r="AO6" s="18">
        <f t="shared" ref="AO6:AO14" si="10">1000*AG6/(SQRT(3)*P$21)</f>
        <v>0</v>
      </c>
      <c r="AP6" s="18">
        <f>1000*AI6/(SQRT(3)*P$21)</f>
        <v>0</v>
      </c>
      <c r="AQ6" s="280">
        <f>'A01'!H55</f>
        <v>0</v>
      </c>
      <c r="AR6" s="18">
        <f>SQRT(SUMSQ(AO6,AP6))</f>
        <v>0</v>
      </c>
      <c r="AS6" s="18">
        <f t="shared" ref="AS6:AS14" si="11">SQRT(SUMSQ(AQ6,AR6))</f>
        <v>0</v>
      </c>
      <c r="AT6" s="18">
        <f t="shared" ref="AT6:AT14" si="12">IF(AR6=0,0,100*AQ6/AR6)</f>
        <v>0</v>
      </c>
      <c r="AV6" s="2" t="s">
        <v>269</v>
      </c>
      <c r="AW6" s="8">
        <f t="shared" ref="AW6:AW14" si="13">P$23</f>
        <v>19.098593171027439</v>
      </c>
      <c r="AX6" s="8">
        <f>AC6*Instructions!E$197</f>
        <v>0</v>
      </c>
      <c r="AY6" s="8">
        <f>SUM(AW6:AX6)</f>
        <v>19.098593171027439</v>
      </c>
      <c r="AZ6" s="7">
        <f t="shared" ref="AZ6:AZ12" si="14">IF(AR6=0,1000*P$22,(P$21/(SQRT(3)*2*PI()*P$20*AY6/1000000)))</f>
        <v>38490.017945975058</v>
      </c>
      <c r="BA6" s="7">
        <f t="shared" ref="BA6:BA12" si="15">IF(AR6=0,1000*P$22,AZ6/AR6)</f>
        <v>38490.017945975058</v>
      </c>
      <c r="BB6" s="314">
        <f>'A01'!F1</f>
        <v>0.1</v>
      </c>
    </row>
    <row r="7" spans="1:54" x14ac:dyDescent="0.3">
      <c r="A7" s="1" t="str">
        <f t="shared" si="0"/>
        <v/>
      </c>
      <c r="B7" s="1">
        <f>Input!B27</f>
        <v>2</v>
      </c>
      <c r="C7" s="1" t="str">
        <f>IF(Input!F27="","",Input!F27)</f>
        <v/>
      </c>
      <c r="D7" s="1" t="str">
        <f>IF(C7="","",IF(Input!G27="","none",Input!G27))</f>
        <v/>
      </c>
      <c r="E7" s="1" t="str">
        <f t="shared" ref="E7:E55" si="16">IF(C7="6 Pulse w/ No Impedance","A",IF(C7="6 Pulse w/ 3% Impedance","B",IF(C7="6 Pulse w/ 5% Impedance","C",IF(C7="12 Pulse Drive","D",IF(C7="18 Pulse Drive","E",IF(C7="ULH (AFE) Drive","F",IF(C7="Custom System","G","")))))))</f>
        <v/>
      </c>
      <c r="F7" s="1" t="str">
        <f t="shared" ref="F7:F55" si="17">IF(D7="none","01",IF(D7="1.5% AC Reactor","02",IF(D7="2.5% AC Reactor","03",IF(D7="3% AC Reactor","04",IF(D7="5% AC Reactor","05",IF(D7="7% AC Reactor","06",IF(D7="10% AC Reactor","07",IF(D7="7% THDi Passive Filter","08",IF(D7="5% THDi Passive Filter","09","")))))))))</f>
        <v/>
      </c>
      <c r="G7" s="1" t="str">
        <f t="shared" ref="G7:G55" si="18">IF(I7=0,"",CONCATENATE(E7,F7))</f>
        <v/>
      </c>
      <c r="H7" s="8">
        <f>IF(G7="",0,IF(I7=0,0,Input!H27))</f>
        <v>0</v>
      </c>
      <c r="I7" s="235">
        <f>Input!I27</f>
        <v>1</v>
      </c>
      <c r="J7" s="8">
        <f t="shared" si="1"/>
        <v>0</v>
      </c>
      <c r="K7" s="216">
        <f>IF(I7=0,$P$31,IF(Input!J27="",$P$31,Input!J27))</f>
        <v>32.799999999999997</v>
      </c>
      <c r="M7" t="s">
        <v>513</v>
      </c>
      <c r="N7" s="1" t="s">
        <v>303</v>
      </c>
      <c r="O7" t="s">
        <v>224</v>
      </c>
      <c r="P7" s="217" t="s">
        <v>309</v>
      </c>
      <c r="S7" s="2" t="s">
        <v>270</v>
      </c>
      <c r="T7" s="5"/>
      <c r="U7" s="259" t="str">
        <f>U6</f>
        <v>6 Pulse w/ No Impedance</v>
      </c>
      <c r="V7" s="259" t="str">
        <f t="shared" si="2"/>
        <v>1.5% AC Reactor</v>
      </c>
      <c r="W7" s="1">
        <f t="shared" si="3"/>
        <v>0</v>
      </c>
      <c r="X7" s="1">
        <f t="shared" si="4"/>
        <v>0</v>
      </c>
      <c r="Y7" s="1">
        <f t="shared" si="5"/>
        <v>0</v>
      </c>
      <c r="Z7" s="218">
        <f>IF(X7=0,0,Y7/X7)</f>
        <v>0</v>
      </c>
      <c r="AA7" s="1">
        <f t="shared" si="6"/>
        <v>0</v>
      </c>
      <c r="AB7" s="219">
        <f t="shared" ref="AB7:AB66" si="19">IF(W7=0,0,AA7/W7)</f>
        <v>0</v>
      </c>
      <c r="AC7" s="7">
        <f t="shared" ref="AC7:AC66" si="20">AB7/3.28</f>
        <v>0</v>
      </c>
      <c r="AE7" s="2" t="s">
        <v>270</v>
      </c>
      <c r="AF7" s="250">
        <f>X7*0.746/Instructions!E$194/Instructions!E$195</f>
        <v>0</v>
      </c>
      <c r="AG7" s="250">
        <f>Y7*0.746/Instructions!E$194/Instructions!E$195</f>
        <v>0</v>
      </c>
      <c r="AH7" s="250">
        <v>0.96699999999999997</v>
      </c>
      <c r="AI7" s="250">
        <f t="shared" ref="AI7:AI12" si="21">SQRT((AG7/AH7)^2-AG7^2)</f>
        <v>0</v>
      </c>
      <c r="AJ7" s="250">
        <f t="shared" si="7"/>
        <v>0</v>
      </c>
      <c r="AK7" s="250">
        <f t="shared" si="8"/>
        <v>0</v>
      </c>
      <c r="AL7" s="2"/>
      <c r="AM7" s="2" t="s">
        <v>270</v>
      </c>
      <c r="AN7" s="18">
        <f t="shared" si="9"/>
        <v>0</v>
      </c>
      <c r="AO7" s="18">
        <f t="shared" si="10"/>
        <v>0</v>
      </c>
      <c r="AP7" s="18">
        <f t="shared" ref="AP7:AP12" si="22">1000*AI7/(SQRT(3)*P$21)</f>
        <v>0</v>
      </c>
      <c r="AQ7" s="280">
        <f>'A02'!H55</f>
        <v>0</v>
      </c>
      <c r="AR7" s="18">
        <f t="shared" ref="AR7:AR66" si="23">SQRT(SUMSQ(AO7,AP7))</f>
        <v>0</v>
      </c>
      <c r="AS7" s="18">
        <f t="shared" si="11"/>
        <v>0</v>
      </c>
      <c r="AT7" s="18">
        <f t="shared" si="12"/>
        <v>0</v>
      </c>
      <c r="AV7" s="2" t="s">
        <v>270</v>
      </c>
      <c r="AW7" s="8">
        <f t="shared" si="13"/>
        <v>19.098593171027439</v>
      </c>
      <c r="AX7" s="8">
        <f>AC7*Instructions!E$197</f>
        <v>0</v>
      </c>
      <c r="AY7" s="8">
        <f t="shared" ref="AY7:AY66" si="24">SUM(AW7:AX7)</f>
        <v>19.098593171027439</v>
      </c>
      <c r="AZ7" s="7">
        <f t="shared" si="14"/>
        <v>38490.017945975058</v>
      </c>
      <c r="BA7" s="7">
        <f t="shared" si="15"/>
        <v>38490.017945975058</v>
      </c>
      <c r="BB7" s="314">
        <f>'A02'!F1</f>
        <v>1.5025980762113533</v>
      </c>
    </row>
    <row r="8" spans="1:54" x14ac:dyDescent="0.3">
      <c r="A8" s="1" t="str">
        <f t="shared" si="0"/>
        <v/>
      </c>
      <c r="B8" s="1">
        <f>Input!B28</f>
        <v>3</v>
      </c>
      <c r="C8" s="1" t="str">
        <f>IF(Input!F28="","",Input!F28)</f>
        <v/>
      </c>
      <c r="D8" s="1" t="str">
        <f>IF(C8="","",IF(Input!G28="","none",Input!G28))</f>
        <v/>
      </c>
      <c r="E8" s="1" t="str">
        <f t="shared" si="16"/>
        <v/>
      </c>
      <c r="F8" s="1" t="str">
        <f t="shared" si="17"/>
        <v/>
      </c>
      <c r="G8" s="1" t="str">
        <f t="shared" si="18"/>
        <v/>
      </c>
      <c r="H8" s="8">
        <f>IF(G8="",0,IF(I8=0,0,Input!H28))</f>
        <v>0</v>
      </c>
      <c r="I8" s="235">
        <f>Input!I28</f>
        <v>1</v>
      </c>
      <c r="J8" s="8">
        <f t="shared" si="1"/>
        <v>0</v>
      </c>
      <c r="K8" s="216">
        <f>IF(I8=0,$P$31,IF(Input!J28="",$P$31,Input!J28))</f>
        <v>32.799999999999997</v>
      </c>
      <c r="M8" t="s">
        <v>514</v>
      </c>
      <c r="N8" s="1" t="s">
        <v>304</v>
      </c>
      <c r="O8" t="s">
        <v>225</v>
      </c>
      <c r="P8" s="217" t="s">
        <v>310</v>
      </c>
      <c r="S8" s="2" t="s">
        <v>271</v>
      </c>
      <c r="T8" s="5"/>
      <c r="U8" s="259" t="str">
        <f t="shared" ref="U8:U14" si="25">U7</f>
        <v>6 Pulse w/ No Impedance</v>
      </c>
      <c r="V8" s="259" t="str">
        <f t="shared" si="2"/>
        <v>2.5% AC Reactor</v>
      </c>
      <c r="W8" s="1">
        <f t="shared" si="3"/>
        <v>0</v>
      </c>
      <c r="X8" s="1">
        <f t="shared" si="4"/>
        <v>0</v>
      </c>
      <c r="Y8" s="1">
        <f t="shared" si="5"/>
        <v>0</v>
      </c>
      <c r="Z8" s="218">
        <f t="shared" ref="Z8:Z66" si="26">IF(X8=0,0,Y8/X8)</f>
        <v>0</v>
      </c>
      <c r="AA8" s="1">
        <f t="shared" si="6"/>
        <v>0</v>
      </c>
      <c r="AB8" s="219">
        <f t="shared" si="19"/>
        <v>0</v>
      </c>
      <c r="AC8" s="7">
        <f t="shared" si="20"/>
        <v>0</v>
      </c>
      <c r="AE8" s="2" t="s">
        <v>271</v>
      </c>
      <c r="AF8" s="250">
        <f>X8*0.746/Instructions!E$194/Instructions!E$195</f>
        <v>0</v>
      </c>
      <c r="AG8" s="250">
        <f>Y8*0.746/Instructions!E$194/Instructions!E$195</f>
        <v>0</v>
      </c>
      <c r="AH8" s="250">
        <v>0.97099999999999997</v>
      </c>
      <c r="AI8" s="250">
        <f t="shared" si="21"/>
        <v>0</v>
      </c>
      <c r="AJ8" s="250">
        <f t="shared" si="7"/>
        <v>0</v>
      </c>
      <c r="AK8" s="250">
        <f t="shared" si="8"/>
        <v>0</v>
      </c>
      <c r="AL8" s="2"/>
      <c r="AM8" s="2" t="s">
        <v>271</v>
      </c>
      <c r="AN8" s="18">
        <f t="shared" si="9"/>
        <v>0</v>
      </c>
      <c r="AO8" s="18">
        <f t="shared" si="10"/>
        <v>0</v>
      </c>
      <c r="AP8" s="18">
        <f t="shared" si="22"/>
        <v>0</v>
      </c>
      <c r="AQ8" s="280">
        <f>'A03'!H55</f>
        <v>0</v>
      </c>
      <c r="AR8" s="18">
        <f t="shared" si="23"/>
        <v>0</v>
      </c>
      <c r="AS8" s="18">
        <f t="shared" si="11"/>
        <v>0</v>
      </c>
      <c r="AT8" s="18">
        <f t="shared" si="12"/>
        <v>0</v>
      </c>
      <c r="AV8" s="2" t="s">
        <v>271</v>
      </c>
      <c r="AW8" s="8">
        <f t="shared" si="13"/>
        <v>19.098593171027439</v>
      </c>
      <c r="AX8" s="8">
        <f>AC8*Instructions!E$197</f>
        <v>0</v>
      </c>
      <c r="AY8" s="8">
        <f t="shared" si="24"/>
        <v>19.098593171027439</v>
      </c>
      <c r="AZ8" s="7">
        <f t="shared" si="14"/>
        <v>38490.017945975058</v>
      </c>
      <c r="BA8" s="7">
        <f t="shared" si="15"/>
        <v>38490.017945975058</v>
      </c>
      <c r="BB8" s="314">
        <f>'A03'!F1</f>
        <v>2.5025980762113531</v>
      </c>
    </row>
    <row r="9" spans="1:54" x14ac:dyDescent="0.3">
      <c r="A9" s="1" t="str">
        <f t="shared" si="0"/>
        <v/>
      </c>
      <c r="B9" s="1">
        <f>Input!B29</f>
        <v>4</v>
      </c>
      <c r="C9" s="1" t="str">
        <f>IF(Input!F29="","",Input!F29)</f>
        <v/>
      </c>
      <c r="D9" s="1" t="str">
        <f>IF(C9="","",IF(Input!G29="","none",Input!G29))</f>
        <v/>
      </c>
      <c r="E9" s="1" t="str">
        <f t="shared" si="16"/>
        <v/>
      </c>
      <c r="F9" s="1" t="str">
        <f t="shared" si="17"/>
        <v/>
      </c>
      <c r="G9" s="1" t="str">
        <f t="shared" si="18"/>
        <v/>
      </c>
      <c r="H9" s="8">
        <f>IF(G9="",0,IF(I9=0,0,Input!H29))</f>
        <v>0</v>
      </c>
      <c r="I9" s="235">
        <f>Input!I29</f>
        <v>1</v>
      </c>
      <c r="J9" s="8">
        <f t="shared" si="1"/>
        <v>0</v>
      </c>
      <c r="K9" s="216">
        <f>IF(I9=0,$P$31,IF(Input!J29="",$P$31,Input!J29))</f>
        <v>32.799999999999997</v>
      </c>
      <c r="M9" t="s">
        <v>369</v>
      </c>
      <c r="N9" s="1" t="s">
        <v>305</v>
      </c>
      <c r="O9" t="s">
        <v>226</v>
      </c>
      <c r="P9" s="217" t="s">
        <v>311</v>
      </c>
      <c r="S9" s="2" t="s">
        <v>272</v>
      </c>
      <c r="T9" s="5"/>
      <c r="U9" s="259" t="str">
        <f t="shared" si="25"/>
        <v>6 Pulse w/ No Impedance</v>
      </c>
      <c r="V9" s="259" t="str">
        <f t="shared" si="2"/>
        <v>3% AC Reactor</v>
      </c>
      <c r="W9" s="5">
        <f t="shared" si="3"/>
        <v>0</v>
      </c>
      <c r="X9" s="1">
        <f t="shared" si="4"/>
        <v>0</v>
      </c>
      <c r="Y9" s="1">
        <f t="shared" si="5"/>
        <v>0</v>
      </c>
      <c r="Z9" s="218">
        <f t="shared" si="26"/>
        <v>0</v>
      </c>
      <c r="AA9" s="1">
        <f t="shared" si="6"/>
        <v>0</v>
      </c>
      <c r="AB9" s="219">
        <f t="shared" si="19"/>
        <v>0</v>
      </c>
      <c r="AC9" s="7">
        <f t="shared" si="20"/>
        <v>0</v>
      </c>
      <c r="AE9" s="2" t="s">
        <v>272</v>
      </c>
      <c r="AF9" s="250">
        <f>X9*0.746/Instructions!E$194/Instructions!E$195</f>
        <v>0</v>
      </c>
      <c r="AG9" s="250">
        <f>Y9*0.746/Instructions!E$194/Instructions!E$195</f>
        <v>0</v>
      </c>
      <c r="AH9" s="250">
        <v>0.97099999999999997</v>
      </c>
      <c r="AI9" s="250">
        <f t="shared" si="21"/>
        <v>0</v>
      </c>
      <c r="AJ9" s="250">
        <f t="shared" si="7"/>
        <v>0</v>
      </c>
      <c r="AK9" s="250">
        <f t="shared" si="8"/>
        <v>0</v>
      </c>
      <c r="AL9" s="2"/>
      <c r="AM9" s="2" t="s">
        <v>272</v>
      </c>
      <c r="AN9" s="18">
        <f t="shared" si="9"/>
        <v>0</v>
      </c>
      <c r="AO9" s="18">
        <f t="shared" si="10"/>
        <v>0</v>
      </c>
      <c r="AP9" s="18">
        <f t="shared" si="22"/>
        <v>0</v>
      </c>
      <c r="AQ9" s="280">
        <f>'A04'!H55</f>
        <v>0</v>
      </c>
      <c r="AR9" s="18">
        <f t="shared" si="23"/>
        <v>0</v>
      </c>
      <c r="AS9" s="18">
        <f t="shared" si="11"/>
        <v>0</v>
      </c>
      <c r="AT9" s="18">
        <f t="shared" si="12"/>
        <v>0</v>
      </c>
      <c r="AV9" s="2" t="s">
        <v>272</v>
      </c>
      <c r="AW9" s="8">
        <f t="shared" si="13"/>
        <v>19.098593171027439</v>
      </c>
      <c r="AX9" s="8">
        <f>AC9*Instructions!E$197</f>
        <v>0</v>
      </c>
      <c r="AY9" s="8">
        <f t="shared" si="24"/>
        <v>19.098593171027439</v>
      </c>
      <c r="AZ9" s="7">
        <f t="shared" si="14"/>
        <v>38490.017945975058</v>
      </c>
      <c r="BA9" s="7">
        <f t="shared" si="15"/>
        <v>38490.017945975058</v>
      </c>
      <c r="BB9" s="314">
        <f>'A04'!F1</f>
        <v>3.0025980762113531</v>
      </c>
    </row>
    <row r="10" spans="1:54" x14ac:dyDescent="0.3">
      <c r="A10" s="1" t="str">
        <f t="shared" si="0"/>
        <v/>
      </c>
      <c r="B10" s="1">
        <f>Input!B30</f>
        <v>5</v>
      </c>
      <c r="C10" s="1" t="str">
        <f>IF(Input!F30="","",Input!F30)</f>
        <v/>
      </c>
      <c r="D10" s="1" t="str">
        <f>IF(C10="","",IF(Input!G30="","none",Input!G30))</f>
        <v/>
      </c>
      <c r="E10" s="1" t="str">
        <f t="shared" si="16"/>
        <v/>
      </c>
      <c r="F10" s="1" t="str">
        <f t="shared" si="17"/>
        <v/>
      </c>
      <c r="G10" s="1" t="str">
        <f t="shared" si="18"/>
        <v/>
      </c>
      <c r="H10" s="8">
        <f>IF(G10="",0,IF(I10=0,0,Input!H30))</f>
        <v>0</v>
      </c>
      <c r="I10" s="235">
        <f>Input!I30</f>
        <v>1</v>
      </c>
      <c r="J10" s="8">
        <f t="shared" si="1"/>
        <v>0</v>
      </c>
      <c r="K10" s="216">
        <f>IF(I10=0,$P$31,IF(Input!J30="",$P$31,Input!J30))</f>
        <v>32.799999999999997</v>
      </c>
      <c r="M10" t="s">
        <v>370</v>
      </c>
      <c r="N10" s="1" t="s">
        <v>306</v>
      </c>
      <c r="O10" t="s">
        <v>227</v>
      </c>
      <c r="P10" s="217" t="s">
        <v>312</v>
      </c>
      <c r="S10" s="2" t="s">
        <v>273</v>
      </c>
      <c r="T10" s="5"/>
      <c r="U10" s="259" t="str">
        <f t="shared" si="25"/>
        <v>6 Pulse w/ No Impedance</v>
      </c>
      <c r="V10" s="259" t="str">
        <f t="shared" si="2"/>
        <v>5% AC Reactor</v>
      </c>
      <c r="W10" s="5">
        <f t="shared" si="3"/>
        <v>0</v>
      </c>
      <c r="X10" s="1">
        <f t="shared" si="4"/>
        <v>0</v>
      </c>
      <c r="Y10" s="1">
        <f t="shared" si="5"/>
        <v>0</v>
      </c>
      <c r="Z10" s="218">
        <f t="shared" si="26"/>
        <v>0</v>
      </c>
      <c r="AA10" s="1">
        <f t="shared" si="6"/>
        <v>0</v>
      </c>
      <c r="AB10" s="219">
        <f t="shared" si="19"/>
        <v>0</v>
      </c>
      <c r="AC10" s="7">
        <f t="shared" si="20"/>
        <v>0</v>
      </c>
      <c r="AE10" s="2" t="s">
        <v>273</v>
      </c>
      <c r="AF10" s="250">
        <f>X10*0.746/Instructions!E$194/Instructions!E$195</f>
        <v>0</v>
      </c>
      <c r="AG10" s="250">
        <f>Y10*0.746/Instructions!E$194/Instructions!E$195</f>
        <v>0</v>
      </c>
      <c r="AH10" s="250">
        <v>0.96599999999999997</v>
      </c>
      <c r="AI10" s="250">
        <f t="shared" si="21"/>
        <v>0</v>
      </c>
      <c r="AJ10" s="250">
        <f t="shared" si="7"/>
        <v>0</v>
      </c>
      <c r="AK10" s="250">
        <f t="shared" si="8"/>
        <v>0</v>
      </c>
      <c r="AL10" s="2"/>
      <c r="AM10" s="2" t="s">
        <v>273</v>
      </c>
      <c r="AN10" s="18">
        <f t="shared" si="9"/>
        <v>0</v>
      </c>
      <c r="AO10" s="18">
        <f t="shared" si="10"/>
        <v>0</v>
      </c>
      <c r="AP10" s="18">
        <f t="shared" si="22"/>
        <v>0</v>
      </c>
      <c r="AQ10" s="280">
        <f>'A05'!H55</f>
        <v>0</v>
      </c>
      <c r="AR10" s="18">
        <f t="shared" si="23"/>
        <v>0</v>
      </c>
      <c r="AS10" s="18">
        <f t="shared" si="11"/>
        <v>0</v>
      </c>
      <c r="AT10" s="18">
        <f t="shared" si="12"/>
        <v>0</v>
      </c>
      <c r="AV10" s="2" t="s">
        <v>273</v>
      </c>
      <c r="AW10" s="8">
        <f t="shared" si="13"/>
        <v>19.098593171027439</v>
      </c>
      <c r="AX10" s="8">
        <f>AC10*Instructions!E$197</f>
        <v>0</v>
      </c>
      <c r="AY10" s="8">
        <f t="shared" si="24"/>
        <v>19.098593171027439</v>
      </c>
      <c r="AZ10" s="7">
        <f t="shared" si="14"/>
        <v>38490.017945975058</v>
      </c>
      <c r="BA10" s="7">
        <f t="shared" si="15"/>
        <v>38490.017945975058</v>
      </c>
      <c r="BB10" s="314">
        <f>'A05'!F1</f>
        <v>5.0025980762113536</v>
      </c>
    </row>
    <row r="11" spans="1:54" x14ac:dyDescent="0.3">
      <c r="A11" s="1" t="str">
        <f t="shared" si="0"/>
        <v/>
      </c>
      <c r="B11" s="1">
        <f>Input!B31</f>
        <v>6</v>
      </c>
      <c r="C11" s="1" t="str">
        <f>IF(Input!F31="","",Input!F31)</f>
        <v/>
      </c>
      <c r="D11" s="1" t="str">
        <f>IF(C11="","",IF(Input!G31="","none",Input!G31))</f>
        <v/>
      </c>
      <c r="E11" s="1" t="str">
        <f t="shared" si="16"/>
        <v/>
      </c>
      <c r="F11" s="1" t="str">
        <f t="shared" si="17"/>
        <v/>
      </c>
      <c r="G11" s="1" t="str">
        <f t="shared" si="18"/>
        <v/>
      </c>
      <c r="H11" s="8">
        <f>IF(G11="",0,IF(I11=0,0,Input!H31))</f>
        <v>0</v>
      </c>
      <c r="I11" s="235">
        <f>Input!I31</f>
        <v>1</v>
      </c>
      <c r="J11" s="8">
        <f t="shared" si="1"/>
        <v>0</v>
      </c>
      <c r="K11" s="216">
        <f>IF(I11=0,$P$31,IF(Input!J31="",$P$31,Input!J31))</f>
        <v>32.799999999999997</v>
      </c>
      <c r="M11" t="s">
        <v>515</v>
      </c>
      <c r="N11" s="1" t="s">
        <v>307</v>
      </c>
      <c r="O11" t="s">
        <v>228</v>
      </c>
      <c r="P11" s="217" t="s">
        <v>313</v>
      </c>
      <c r="S11" s="2" t="s">
        <v>274</v>
      </c>
      <c r="T11" s="5"/>
      <c r="U11" s="259" t="str">
        <f t="shared" si="25"/>
        <v>6 Pulse w/ No Impedance</v>
      </c>
      <c r="V11" s="259" t="str">
        <f t="shared" si="2"/>
        <v>7% AC Reactor</v>
      </c>
      <c r="W11" s="1">
        <f t="shared" si="3"/>
        <v>0</v>
      </c>
      <c r="X11" s="1">
        <f t="shared" si="4"/>
        <v>0</v>
      </c>
      <c r="Y11" s="1">
        <f t="shared" si="5"/>
        <v>0</v>
      </c>
      <c r="Z11" s="218">
        <f t="shared" si="26"/>
        <v>0</v>
      </c>
      <c r="AA11" s="1">
        <f t="shared" si="6"/>
        <v>0</v>
      </c>
      <c r="AB11" s="219">
        <f t="shared" si="19"/>
        <v>0</v>
      </c>
      <c r="AC11" s="7">
        <f t="shared" si="20"/>
        <v>0</v>
      </c>
      <c r="AE11" s="2" t="s">
        <v>274</v>
      </c>
      <c r="AF11" s="250">
        <f>X11*0.746/Instructions!E$194/Instructions!E$195</f>
        <v>0</v>
      </c>
      <c r="AG11" s="250">
        <f>Y11*0.746/Instructions!E$194/Instructions!E$195</f>
        <v>0</v>
      </c>
      <c r="AH11" s="250">
        <v>0.95899999999999996</v>
      </c>
      <c r="AI11" s="250">
        <f t="shared" si="21"/>
        <v>0</v>
      </c>
      <c r="AJ11" s="250">
        <f t="shared" si="7"/>
        <v>0</v>
      </c>
      <c r="AK11" s="250">
        <f t="shared" si="8"/>
        <v>0</v>
      </c>
      <c r="AL11" s="2"/>
      <c r="AM11" s="2" t="s">
        <v>274</v>
      </c>
      <c r="AN11" s="18">
        <f t="shared" si="9"/>
        <v>0</v>
      </c>
      <c r="AO11" s="18">
        <f t="shared" si="10"/>
        <v>0</v>
      </c>
      <c r="AP11" s="18">
        <f t="shared" si="22"/>
        <v>0</v>
      </c>
      <c r="AQ11" s="280">
        <f>'A06'!H55</f>
        <v>0</v>
      </c>
      <c r="AR11" s="18">
        <f t="shared" si="23"/>
        <v>0</v>
      </c>
      <c r="AS11" s="18">
        <f t="shared" si="11"/>
        <v>0</v>
      </c>
      <c r="AT11" s="18">
        <f t="shared" si="12"/>
        <v>0</v>
      </c>
      <c r="AV11" t="s">
        <v>274</v>
      </c>
      <c r="AW11" s="8">
        <f t="shared" si="13"/>
        <v>19.098593171027439</v>
      </c>
      <c r="AX11" s="8">
        <f>AC11*Instructions!E$197</f>
        <v>0</v>
      </c>
      <c r="AY11" s="8">
        <f t="shared" si="24"/>
        <v>19.098593171027439</v>
      </c>
      <c r="AZ11" s="7">
        <f t="shared" si="14"/>
        <v>38490.017945975058</v>
      </c>
      <c r="BA11" s="7">
        <f t="shared" si="15"/>
        <v>38490.017945975058</v>
      </c>
      <c r="BB11" s="314">
        <f>'A06'!F1</f>
        <v>7.0025980762113536</v>
      </c>
    </row>
    <row r="12" spans="1:54" x14ac:dyDescent="0.3">
      <c r="A12" s="1" t="str">
        <f t="shared" si="0"/>
        <v/>
      </c>
      <c r="B12" s="1">
        <f>Input!B32</f>
        <v>7</v>
      </c>
      <c r="C12" s="1" t="str">
        <f>IF(Input!F32="","",Input!F32)</f>
        <v/>
      </c>
      <c r="D12" s="1" t="str">
        <f>IF(C12="","",IF(Input!G32="","none",Input!G32))</f>
        <v/>
      </c>
      <c r="E12" s="1" t="str">
        <f t="shared" si="16"/>
        <v/>
      </c>
      <c r="F12" s="1" t="str">
        <f t="shared" si="17"/>
        <v/>
      </c>
      <c r="G12" s="1" t="str">
        <f t="shared" si="18"/>
        <v/>
      </c>
      <c r="H12" s="8">
        <f>IF(G12="",0,IF(I12=0,0,Input!H32))</f>
        <v>0</v>
      </c>
      <c r="I12" s="235">
        <f>Input!I32</f>
        <v>1</v>
      </c>
      <c r="J12" s="8">
        <f t="shared" si="1"/>
        <v>0</v>
      </c>
      <c r="K12" s="216">
        <f>IF(I12=0,$P$31,IF(Input!J32="",$P$31,Input!J32))</f>
        <v>32.799999999999997</v>
      </c>
      <c r="M12" t="s">
        <v>677</v>
      </c>
      <c r="N12" s="1" t="s">
        <v>416</v>
      </c>
      <c r="O12" t="s">
        <v>229</v>
      </c>
      <c r="P12" s="217" t="s">
        <v>314</v>
      </c>
      <c r="S12" s="2" t="s">
        <v>275</v>
      </c>
      <c r="T12" s="5"/>
      <c r="U12" s="259" t="str">
        <f t="shared" si="25"/>
        <v>6 Pulse w/ No Impedance</v>
      </c>
      <c r="V12" s="259" t="str">
        <f t="shared" si="2"/>
        <v>10% AC Reactor</v>
      </c>
      <c r="W12" s="1">
        <f t="shared" si="3"/>
        <v>0</v>
      </c>
      <c r="X12" s="1">
        <f t="shared" si="4"/>
        <v>0</v>
      </c>
      <c r="Y12" s="1">
        <f t="shared" si="5"/>
        <v>0</v>
      </c>
      <c r="Z12" s="218">
        <f t="shared" si="26"/>
        <v>0</v>
      </c>
      <c r="AA12" s="1">
        <f t="shared" si="6"/>
        <v>0</v>
      </c>
      <c r="AB12" s="219">
        <f t="shared" si="19"/>
        <v>0</v>
      </c>
      <c r="AC12" s="7">
        <f t="shared" si="20"/>
        <v>0</v>
      </c>
      <c r="AE12" s="2" t="s">
        <v>275</v>
      </c>
      <c r="AF12" s="250">
        <f>X12*0.746/Instructions!E$194/Instructions!E$195</f>
        <v>0</v>
      </c>
      <c r="AG12" s="250">
        <f>Y12*0.746/Instructions!E$194/Instructions!E$195</f>
        <v>0</v>
      </c>
      <c r="AH12" s="250">
        <v>0.94899999999999995</v>
      </c>
      <c r="AI12" s="250">
        <f t="shared" si="21"/>
        <v>0</v>
      </c>
      <c r="AJ12" s="250">
        <f t="shared" si="7"/>
        <v>0</v>
      </c>
      <c r="AK12" s="250">
        <f t="shared" si="8"/>
        <v>0</v>
      </c>
      <c r="AL12" s="2"/>
      <c r="AM12" s="2" t="s">
        <v>275</v>
      </c>
      <c r="AN12" s="18">
        <f t="shared" si="9"/>
        <v>0</v>
      </c>
      <c r="AO12" s="18">
        <f t="shared" si="10"/>
        <v>0</v>
      </c>
      <c r="AP12" s="18">
        <f t="shared" si="22"/>
        <v>0</v>
      </c>
      <c r="AQ12" s="280">
        <f>'A07'!H55</f>
        <v>0</v>
      </c>
      <c r="AR12" s="18">
        <f t="shared" si="23"/>
        <v>0</v>
      </c>
      <c r="AS12" s="18">
        <f t="shared" si="11"/>
        <v>0</v>
      </c>
      <c r="AT12" s="18">
        <f t="shared" si="12"/>
        <v>0</v>
      </c>
      <c r="AV12" t="s">
        <v>275</v>
      </c>
      <c r="AW12" s="8">
        <f t="shared" si="13"/>
        <v>19.098593171027439</v>
      </c>
      <c r="AX12" s="8">
        <f>AC12*Instructions!E$197</f>
        <v>0</v>
      </c>
      <c r="AY12" s="8">
        <f t="shared" si="24"/>
        <v>19.098593171027439</v>
      </c>
      <c r="AZ12" s="7">
        <f t="shared" si="14"/>
        <v>38490.017945975058</v>
      </c>
      <c r="BA12" s="7">
        <f t="shared" si="15"/>
        <v>38490.017945975058</v>
      </c>
      <c r="BB12" s="314">
        <f>'A07'!F1</f>
        <v>10.002598076211353</v>
      </c>
    </row>
    <row r="13" spans="1:54" x14ac:dyDescent="0.3">
      <c r="A13" s="1" t="str">
        <f t="shared" si="0"/>
        <v/>
      </c>
      <c r="B13" s="1">
        <f>Input!B33</f>
        <v>8</v>
      </c>
      <c r="C13" s="1" t="str">
        <f>IF(Input!F33="","",Input!F33)</f>
        <v/>
      </c>
      <c r="D13" s="1" t="str">
        <f>IF(C13="","",IF(Input!G33="","none",Input!G33))</f>
        <v/>
      </c>
      <c r="E13" s="1" t="str">
        <f t="shared" si="16"/>
        <v/>
      </c>
      <c r="F13" s="1" t="str">
        <f t="shared" si="17"/>
        <v/>
      </c>
      <c r="G13" s="1" t="str">
        <f t="shared" si="18"/>
        <v/>
      </c>
      <c r="H13" s="8">
        <f>IF(G13="",0,IF(I13=0,0,Input!H33))</f>
        <v>0</v>
      </c>
      <c r="I13" s="235">
        <f>Input!I33</f>
        <v>1</v>
      </c>
      <c r="J13" s="8">
        <f t="shared" si="1"/>
        <v>0</v>
      </c>
      <c r="K13" s="216">
        <f>IF(I13=0,$P$31,IF(Input!J33="",$P$31,Input!J33))</f>
        <v>32.799999999999997</v>
      </c>
      <c r="O13" t="s">
        <v>866</v>
      </c>
      <c r="P13" s="217" t="s">
        <v>315</v>
      </c>
      <c r="S13" s="2" t="s">
        <v>276</v>
      </c>
      <c r="T13" s="5"/>
      <c r="U13" s="259" t="str">
        <f t="shared" si="25"/>
        <v>6 Pulse w/ No Impedance</v>
      </c>
      <c r="V13" s="259" t="str">
        <f t="shared" si="2"/>
        <v>7% THDi Passive Filter</v>
      </c>
      <c r="W13" s="1">
        <f t="shared" si="3"/>
        <v>0</v>
      </c>
      <c r="X13" s="1">
        <f t="shared" si="4"/>
        <v>0</v>
      </c>
      <c r="Y13" s="1">
        <f t="shared" si="5"/>
        <v>0</v>
      </c>
      <c r="Z13" s="218">
        <f t="shared" si="26"/>
        <v>0</v>
      </c>
      <c r="AA13" s="1">
        <f t="shared" si="6"/>
        <v>0</v>
      </c>
      <c r="AB13" s="219">
        <f t="shared" si="19"/>
        <v>0</v>
      </c>
      <c r="AC13" s="7">
        <f t="shared" si="20"/>
        <v>0</v>
      </c>
      <c r="AE13" s="2" t="s">
        <v>276</v>
      </c>
      <c r="AF13" s="250">
        <f>X13*0.746/Instructions!E$194/Instructions!E$195</f>
        <v>0</v>
      </c>
      <c r="AG13" s="250">
        <f>Y13*0.746/Instructions!E$194/Instructions!E$195</f>
        <v>0</v>
      </c>
      <c r="AH13" s="250">
        <v>0.999</v>
      </c>
      <c r="AI13" s="250">
        <f>SQRT(3)*P$21*AP13/1000</f>
        <v>0</v>
      </c>
      <c r="AJ13" s="250">
        <f t="shared" si="7"/>
        <v>0</v>
      </c>
      <c r="AK13" s="250">
        <f t="shared" si="8"/>
        <v>0</v>
      </c>
      <c r="AL13" s="2"/>
      <c r="AM13" s="2" t="s">
        <v>276</v>
      </c>
      <c r="AN13" s="18">
        <f t="shared" si="9"/>
        <v>0</v>
      </c>
      <c r="AO13" s="18">
        <f t="shared" si="10"/>
        <v>0</v>
      </c>
      <c r="AP13" s="280">
        <f>'A08'!J12</f>
        <v>0</v>
      </c>
      <c r="AQ13" s="280">
        <f>'A08'!H55</f>
        <v>0</v>
      </c>
      <c r="AR13" s="18">
        <f>SQRT(SUMSQ(AO13,AP13))</f>
        <v>0</v>
      </c>
      <c r="AS13" s="18">
        <f t="shared" si="11"/>
        <v>0</v>
      </c>
      <c r="AT13" s="18">
        <f t="shared" si="12"/>
        <v>0</v>
      </c>
      <c r="AV13" s="2" t="s">
        <v>276</v>
      </c>
      <c r="AW13" s="8">
        <f t="shared" si="13"/>
        <v>19.098593171027439</v>
      </c>
      <c r="AX13" s="8">
        <f>AC13*Instructions!E$197</f>
        <v>0</v>
      </c>
      <c r="AY13" s="8">
        <f t="shared" si="24"/>
        <v>19.098593171027439</v>
      </c>
      <c r="AZ13" s="7">
        <f>IF(AR13=0,1000*P$22,(P$21/(SQRT(3)*2*PI()*P$20*AY13/1000000)))</f>
        <v>38490.017945975058</v>
      </c>
      <c r="BA13" s="7">
        <f>IF(AR13=0,1000*P$22,AZ13/AR13)</f>
        <v>38490.017945975058</v>
      </c>
      <c r="BB13" s="314">
        <f>'A08'!F1</f>
        <v>0.1</v>
      </c>
    </row>
    <row r="14" spans="1:54" x14ac:dyDescent="0.3">
      <c r="A14" s="1" t="str">
        <f t="shared" si="0"/>
        <v/>
      </c>
      <c r="B14" s="1">
        <f>Input!B34</f>
        <v>9</v>
      </c>
      <c r="C14" s="1" t="str">
        <f>IF(Input!F34="","",Input!F34)</f>
        <v/>
      </c>
      <c r="D14" s="1" t="str">
        <f>IF(C14="","",IF(Input!G34="","none",Input!G34))</f>
        <v/>
      </c>
      <c r="E14" s="1" t="str">
        <f t="shared" si="16"/>
        <v/>
      </c>
      <c r="F14" s="1" t="str">
        <f t="shared" si="17"/>
        <v/>
      </c>
      <c r="G14" s="1" t="str">
        <f t="shared" si="18"/>
        <v/>
      </c>
      <c r="H14" s="8">
        <f>IF(G14="",0,IF(I14=0,0,Input!H34))</f>
        <v>0</v>
      </c>
      <c r="I14" s="235">
        <f>Input!I34</f>
        <v>1</v>
      </c>
      <c r="J14" s="8">
        <f t="shared" si="1"/>
        <v>0</v>
      </c>
      <c r="K14" s="216">
        <f>IF(I14=0,$P$31,IF(Input!J34="",$P$31,Input!J34))</f>
        <v>32.799999999999997</v>
      </c>
      <c r="O14" t="s">
        <v>867</v>
      </c>
      <c r="P14" s="217" t="s">
        <v>316</v>
      </c>
      <c r="S14" s="2" t="s">
        <v>277</v>
      </c>
      <c r="T14" s="5"/>
      <c r="U14" s="259" t="str">
        <f t="shared" si="25"/>
        <v>6 Pulse w/ No Impedance</v>
      </c>
      <c r="V14" s="259" t="str">
        <f t="shared" si="2"/>
        <v>5% THDi Passive Filter</v>
      </c>
      <c r="W14" s="1">
        <f t="shared" si="3"/>
        <v>0</v>
      </c>
      <c r="X14" s="1">
        <f t="shared" si="4"/>
        <v>0</v>
      </c>
      <c r="Y14" s="1">
        <f t="shared" si="5"/>
        <v>0</v>
      </c>
      <c r="Z14" s="218">
        <f t="shared" si="26"/>
        <v>0</v>
      </c>
      <c r="AA14" s="1">
        <f t="shared" si="6"/>
        <v>0</v>
      </c>
      <c r="AB14" s="219">
        <f t="shared" si="19"/>
        <v>0</v>
      </c>
      <c r="AC14" s="7">
        <f t="shared" si="20"/>
        <v>0</v>
      </c>
      <c r="AE14" s="2" t="s">
        <v>277</v>
      </c>
      <c r="AF14" s="250">
        <f>X14*0.746/Instructions!E$194/Instructions!E$195</f>
        <v>0</v>
      </c>
      <c r="AG14" s="250">
        <f>Y14*0.746/Instructions!E$194/Instructions!E$195</f>
        <v>0</v>
      </c>
      <c r="AH14" s="250">
        <v>0.99299999999999999</v>
      </c>
      <c r="AI14" s="250">
        <f>SQRT(3)*P$21*AP14/1000</f>
        <v>0</v>
      </c>
      <c r="AJ14" s="250">
        <f t="shared" si="7"/>
        <v>0</v>
      </c>
      <c r="AK14" s="250">
        <f t="shared" si="8"/>
        <v>0</v>
      </c>
      <c r="AL14" s="2"/>
      <c r="AM14" s="2" t="s">
        <v>277</v>
      </c>
      <c r="AN14" s="18">
        <f t="shared" si="9"/>
        <v>0</v>
      </c>
      <c r="AO14" s="18">
        <f t="shared" si="10"/>
        <v>0</v>
      </c>
      <c r="AP14" s="280">
        <f>'A09'!J12</f>
        <v>0</v>
      </c>
      <c r="AQ14" s="280">
        <f>'A09'!H55</f>
        <v>0</v>
      </c>
      <c r="AR14" s="18">
        <f>SQRT(SUMSQ(AO14,AP14))</f>
        <v>0</v>
      </c>
      <c r="AS14" s="18">
        <f t="shared" si="11"/>
        <v>0</v>
      </c>
      <c r="AT14" s="18">
        <f t="shared" si="12"/>
        <v>0</v>
      </c>
      <c r="AV14" s="2" t="s">
        <v>277</v>
      </c>
      <c r="AW14" s="8">
        <f t="shared" si="13"/>
        <v>19.098593171027439</v>
      </c>
      <c r="AX14" s="8">
        <f>AC14*Instructions!E$197</f>
        <v>0</v>
      </c>
      <c r="AY14" s="8">
        <f t="shared" si="24"/>
        <v>19.098593171027439</v>
      </c>
      <c r="AZ14" s="7">
        <f>IF(AR14=0,1000*P$22,(P$21/(SQRT(3)*2*PI()*P$20*AY14/1000000)))</f>
        <v>38490.017945975058</v>
      </c>
      <c r="BA14" s="7">
        <f>IF(AR14=0,1000*P$22,AZ14/AR14)</f>
        <v>38490.017945975058</v>
      </c>
      <c r="BB14" s="314">
        <f>'A09'!F1</f>
        <v>0.1</v>
      </c>
    </row>
    <row r="15" spans="1:54" x14ac:dyDescent="0.3">
      <c r="A15" s="1" t="str">
        <f t="shared" si="0"/>
        <v/>
      </c>
      <c r="B15" s="1">
        <f>Input!B35</f>
        <v>10</v>
      </c>
      <c r="C15" s="1" t="str">
        <f>IF(Input!F35="","",Input!F35)</f>
        <v/>
      </c>
      <c r="D15" s="1" t="str">
        <f>IF(C15="","",IF(Input!G35="","none",Input!G35))</f>
        <v/>
      </c>
      <c r="E15" s="1" t="str">
        <f t="shared" si="16"/>
        <v/>
      </c>
      <c r="F15" s="1" t="str">
        <f t="shared" si="17"/>
        <v/>
      </c>
      <c r="G15" s="1" t="str">
        <f t="shared" si="18"/>
        <v/>
      </c>
      <c r="H15" s="8">
        <f>IF(G15="",0,IF(I15=0,0,Input!H35))</f>
        <v>0</v>
      </c>
      <c r="I15" s="235">
        <f>Input!I35</f>
        <v>1</v>
      </c>
      <c r="J15" s="8">
        <f t="shared" si="1"/>
        <v>0</v>
      </c>
      <c r="K15" s="216">
        <f>IF(I15=0,$P$31,IF(Input!J35="",$P$31,Input!J35))</f>
        <v>32.799999999999997</v>
      </c>
      <c r="P15" s="217"/>
      <c r="U15" s="85"/>
      <c r="V15" s="85"/>
      <c r="Z15" s="218"/>
      <c r="AC15" s="7"/>
      <c r="AE15" s="2"/>
      <c r="AF15" s="250"/>
      <c r="AG15" s="250"/>
      <c r="AH15" s="250"/>
      <c r="AI15" s="250"/>
      <c r="AJ15" s="250"/>
      <c r="AK15" s="250"/>
      <c r="AL15" s="2"/>
      <c r="AM15" s="2"/>
      <c r="AN15" s="18"/>
      <c r="AO15" s="18"/>
      <c r="AP15" s="18"/>
      <c r="AQ15" s="18"/>
      <c r="AR15" s="18"/>
      <c r="AS15" s="18"/>
      <c r="AT15" s="18"/>
      <c r="AW15" s="8"/>
      <c r="AX15" s="8"/>
      <c r="AY15" s="8"/>
      <c r="AZ15" s="7"/>
      <c r="BA15" s="7"/>
    </row>
    <row r="16" spans="1:54" x14ac:dyDescent="0.3">
      <c r="A16" s="1" t="str">
        <f t="shared" si="0"/>
        <v/>
      </c>
      <c r="B16" s="1">
        <f>Input!B36</f>
        <v>11</v>
      </c>
      <c r="C16" s="1" t="str">
        <f>IF(Input!F36="","",Input!F36)</f>
        <v/>
      </c>
      <c r="D16" s="1" t="str">
        <f>IF(C16="","",IF(Input!G36="","none",Input!G36))</f>
        <v/>
      </c>
      <c r="E16" s="1" t="str">
        <f t="shared" si="16"/>
        <v/>
      </c>
      <c r="F16" s="1" t="str">
        <f t="shared" si="17"/>
        <v/>
      </c>
      <c r="G16" s="1" t="str">
        <f t="shared" si="18"/>
        <v/>
      </c>
      <c r="H16" s="8">
        <f>IF(G16="",0,IF(I16=0,0,Input!H36))</f>
        <v>0</v>
      </c>
      <c r="I16" s="235">
        <f>Input!I36</f>
        <v>1</v>
      </c>
      <c r="J16" s="8">
        <f t="shared" si="1"/>
        <v>0</v>
      </c>
      <c r="K16" s="216">
        <f>IF(I16=0,$P$31,IF(Input!J36="",$P$31,Input!J36))</f>
        <v>32.799999999999997</v>
      </c>
      <c r="P16" s="217"/>
      <c r="U16" s="85"/>
      <c r="V16" s="85"/>
      <c r="Z16" s="218"/>
      <c r="AC16" s="7"/>
      <c r="AE16" s="2"/>
      <c r="AF16" s="250"/>
      <c r="AG16" s="250"/>
      <c r="AH16" s="250"/>
      <c r="AI16" s="250"/>
      <c r="AJ16" s="250"/>
      <c r="AK16" s="250"/>
      <c r="AL16" s="2"/>
      <c r="AM16" s="2"/>
      <c r="AN16" s="18"/>
      <c r="AO16" s="18"/>
      <c r="AP16" s="18"/>
      <c r="AQ16" s="18"/>
      <c r="AR16" s="18"/>
      <c r="AS16" s="18"/>
      <c r="AT16" s="18"/>
      <c r="AW16" s="8"/>
      <c r="AX16" s="8"/>
      <c r="AY16" s="8"/>
      <c r="AZ16" s="7"/>
      <c r="BA16" s="7"/>
    </row>
    <row r="17" spans="1:54" x14ac:dyDescent="0.3">
      <c r="A17" s="1" t="str">
        <f t="shared" si="0"/>
        <v/>
      </c>
      <c r="B17" s="1">
        <f>Input!B37</f>
        <v>12</v>
      </c>
      <c r="C17" s="1" t="str">
        <f>IF(Input!F37="","",Input!F37)</f>
        <v/>
      </c>
      <c r="D17" s="1" t="str">
        <f>IF(C17="","",IF(Input!G37="","none",Input!G37))</f>
        <v/>
      </c>
      <c r="E17" s="1" t="str">
        <f t="shared" si="16"/>
        <v/>
      </c>
      <c r="F17" s="1" t="str">
        <f t="shared" si="17"/>
        <v/>
      </c>
      <c r="G17" s="1" t="str">
        <f t="shared" si="18"/>
        <v/>
      </c>
      <c r="H17" s="8">
        <f>IF(G17="",0,IF(I17=0,0,Input!H37))</f>
        <v>0</v>
      </c>
      <c r="I17" s="235">
        <f>Input!I37</f>
        <v>1</v>
      </c>
      <c r="J17" s="8">
        <f t="shared" si="1"/>
        <v>0</v>
      </c>
      <c r="K17" s="216">
        <f>IF(I17=0,$P$31,IF(Input!J37="",$P$31,Input!J37))</f>
        <v>32.799999999999997</v>
      </c>
      <c r="M17" s="4" t="s">
        <v>940</v>
      </c>
      <c r="N17" s="452" t="str">
        <f>Notes!K1</f>
        <v>220705P</v>
      </c>
      <c r="S17" s="257" t="s">
        <v>358</v>
      </c>
      <c r="T17" s="261"/>
      <c r="U17" s="258" t="str">
        <f>U5</f>
        <v>Drive</v>
      </c>
      <c r="V17" s="258" t="str">
        <f t="shared" ref="V17:BA17" si="27">V5</f>
        <v>Filter</v>
      </c>
      <c r="W17" s="258" t="str">
        <f t="shared" si="27"/>
        <v>Count</v>
      </c>
      <c r="X17" s="258" t="str">
        <f t="shared" si="27"/>
        <v>total rated HP</v>
      </c>
      <c r="Y17" s="258" t="str">
        <f t="shared" si="27"/>
        <v>total actual HP</v>
      </c>
      <c r="Z17" s="258" t="str">
        <f t="shared" si="27"/>
        <v>avg pu load</v>
      </c>
      <c r="AA17" s="258" t="str">
        <f t="shared" si="27"/>
        <v>total ft</v>
      </c>
      <c r="AB17" s="258" t="str">
        <f t="shared" si="27"/>
        <v>avg ft</v>
      </c>
      <c r="AC17" s="258" t="str">
        <f t="shared" si="27"/>
        <v>avg m</v>
      </c>
      <c r="AD17" s="258"/>
      <c r="AE17" s="258"/>
      <c r="AF17" s="258" t="str">
        <f t="shared" si="27"/>
        <v>Pin rated [kW]</v>
      </c>
      <c r="AG17" s="258" t="str">
        <f t="shared" si="27"/>
        <v>Pin actual [kW]</v>
      </c>
      <c r="AH17" s="258" t="str">
        <f t="shared" si="27"/>
        <v>PF disp</v>
      </c>
      <c r="AI17" s="258" t="str">
        <f t="shared" si="27"/>
        <v>Qin [kVAR]</v>
      </c>
      <c r="AJ17" s="258" t="str">
        <f t="shared" si="27"/>
        <v>Din [kVAD]</v>
      </c>
      <c r="AK17" s="258" t="str">
        <f t="shared" si="27"/>
        <v>Sin [kVA]</v>
      </c>
      <c r="AL17" s="258"/>
      <c r="AM17" s="258"/>
      <c r="AN17" s="258" t="str">
        <f t="shared" si="27"/>
        <v>Ireal rated [A]</v>
      </c>
      <c r="AO17" s="258" t="str">
        <f t="shared" si="27"/>
        <v>Ireal actual [A]</v>
      </c>
      <c r="AP17" s="258" t="str">
        <f t="shared" si="27"/>
        <v>Ireact [A]</v>
      </c>
      <c r="AQ17" s="258" t="str">
        <f t="shared" si="27"/>
        <v>Iharm [A]</v>
      </c>
      <c r="AR17" s="258" t="str">
        <f t="shared" si="27"/>
        <v>Ifund [A]</v>
      </c>
      <c r="AS17" s="258" t="str">
        <f t="shared" si="27"/>
        <v>Itotal [A]</v>
      </c>
      <c r="AT17" s="258" t="str">
        <f t="shared" si="27"/>
        <v>Ithd [%]</v>
      </c>
      <c r="AU17" s="258"/>
      <c r="AV17" s="258"/>
      <c r="AW17" s="258" t="str">
        <f t="shared" si="27"/>
        <v>X source [uH]</v>
      </c>
      <c r="AX17" s="258" t="str">
        <f t="shared" si="27"/>
        <v>X cable [uH]</v>
      </c>
      <c r="AY17" s="258" t="str">
        <f t="shared" si="27"/>
        <v>x total [uH]</v>
      </c>
      <c r="AZ17" s="258" t="str">
        <f t="shared" si="27"/>
        <v>Isc</v>
      </c>
      <c r="BA17" s="258" t="str">
        <f t="shared" si="27"/>
        <v>Isc / Ifund</v>
      </c>
      <c r="BB17" s="258" t="s">
        <v>1</v>
      </c>
    </row>
    <row r="18" spans="1:54" x14ac:dyDescent="0.3">
      <c r="A18" s="1" t="str">
        <f t="shared" si="0"/>
        <v/>
      </c>
      <c r="B18" s="1">
        <f>Input!B38</f>
        <v>13</v>
      </c>
      <c r="C18" s="1" t="str">
        <f>IF(Input!F38="","",Input!F38)</f>
        <v/>
      </c>
      <c r="D18" s="1" t="str">
        <f>IF(C18="","",IF(Input!G38="","none",Input!G38))</f>
        <v/>
      </c>
      <c r="E18" s="1" t="str">
        <f t="shared" si="16"/>
        <v/>
      </c>
      <c r="F18" s="1" t="str">
        <f t="shared" si="17"/>
        <v/>
      </c>
      <c r="G18" s="1" t="str">
        <f t="shared" si="18"/>
        <v/>
      </c>
      <c r="H18" s="8">
        <f>IF(G18="",0,IF(I18=0,0,Input!H38))</f>
        <v>0</v>
      </c>
      <c r="I18" s="235">
        <f>Input!I38</f>
        <v>1</v>
      </c>
      <c r="J18" s="8">
        <f t="shared" si="1"/>
        <v>0</v>
      </c>
      <c r="K18" s="216">
        <f>IF(I18=0,$P$31,IF(Input!J38="",$P$31,Input!J38))</f>
        <v>32.799999999999997</v>
      </c>
      <c r="P18" s="217"/>
      <c r="S18" s="2" t="s">
        <v>278</v>
      </c>
      <c r="T18" s="5"/>
      <c r="U18" s="259" t="str">
        <f>M7</f>
        <v>6 Pulse w/ 3% Impedance</v>
      </c>
      <c r="V18" s="259" t="str">
        <f t="shared" ref="V18:V26" si="28">O6</f>
        <v>none</v>
      </c>
      <c r="W18" s="1">
        <f t="shared" ref="W18:W26" si="29">COUNTIF(G$6:G$55,S18)</f>
        <v>0</v>
      </c>
      <c r="X18" s="1">
        <f t="shared" ref="X18:X26" si="30">SUMIF(G$6:G$55,S18,H$6:H$55)</f>
        <v>0</v>
      </c>
      <c r="Y18" s="1">
        <f t="shared" ref="Y18:Y26" si="31">SUMIF(G$6:G$55,S18,J$6:J$55)</f>
        <v>0</v>
      </c>
      <c r="Z18" s="218">
        <f t="shared" si="26"/>
        <v>0</v>
      </c>
      <c r="AA18" s="1">
        <f t="shared" ref="AA18:AA26" si="32">SUMIF(G$6:G$55,S18,K$6:K$55)</f>
        <v>0</v>
      </c>
      <c r="AB18" s="219">
        <f t="shared" si="19"/>
        <v>0</v>
      </c>
      <c r="AC18" s="7">
        <f t="shared" si="20"/>
        <v>0</v>
      </c>
      <c r="AE18" s="2" t="s">
        <v>278</v>
      </c>
      <c r="AF18" s="250">
        <f>X18*0.746/Instructions!E$194/Instructions!E$195</f>
        <v>0</v>
      </c>
      <c r="AG18" s="250">
        <f>Y18*0.746/Instructions!E$194/Instructions!E$195</f>
        <v>0</v>
      </c>
      <c r="AH18" s="250">
        <v>0.98499999999999999</v>
      </c>
      <c r="AI18" s="250">
        <f t="shared" ref="AI18:AI66" si="33">SQRT((AG18/AH18)^2-AG18^2)</f>
        <v>0</v>
      </c>
      <c r="AJ18" s="250">
        <f>SQRT(3)*P$21*AQ18/1000</f>
        <v>0</v>
      </c>
      <c r="AK18" s="250">
        <f t="shared" ref="AK18:AK26" si="34">SQRT(SUMSQ(AG18,AI18,AJ18))</f>
        <v>0</v>
      </c>
      <c r="AL18" s="2"/>
      <c r="AM18" s="2" t="s">
        <v>278</v>
      </c>
      <c r="AN18" s="18">
        <f t="shared" ref="AN18:AN26" si="35">1000*AF18/(SQRT(3)*P$21)</f>
        <v>0</v>
      </c>
      <c r="AO18" s="18">
        <f t="shared" ref="AO18:AO26" si="36">1000*AG18/(SQRT(3)*P$21)</f>
        <v>0</v>
      </c>
      <c r="AP18" s="18">
        <f t="shared" ref="AP18:AP24" si="37">1000*AI18/(SQRT(3)*P$21)</f>
        <v>0</v>
      </c>
      <c r="AQ18" s="280">
        <f>'B01'!H$55</f>
        <v>0</v>
      </c>
      <c r="AR18" s="18">
        <f t="shared" si="23"/>
        <v>0</v>
      </c>
      <c r="AS18" s="18">
        <f t="shared" ref="AS18:AS26" si="38">SQRT(SUMSQ(AQ18,AR18))</f>
        <v>0</v>
      </c>
      <c r="AT18" s="18">
        <f>IF(AR18=0,0,100*AQ18/AR18)</f>
        <v>0</v>
      </c>
      <c r="AV18" s="2" t="s">
        <v>278</v>
      </c>
      <c r="AW18" s="8">
        <f t="shared" ref="AW18:AW26" si="39">P$23</f>
        <v>19.098593171027439</v>
      </c>
      <c r="AX18" s="8">
        <f>AC18*Instructions!E$197</f>
        <v>0</v>
      </c>
      <c r="AY18" s="8">
        <f t="shared" si="24"/>
        <v>19.098593171027439</v>
      </c>
      <c r="AZ18" s="7">
        <f t="shared" ref="AZ18:AZ24" si="40">IF(AR18=0,1000*P$22,(P$21/(SQRT(3)*2*PI()*P$20*AY18/1000000)))</f>
        <v>38490.017945975058</v>
      </c>
      <c r="BA18" s="7">
        <f t="shared" ref="BA18:BA24" si="41">IF(AR18=0,1000*P$22,AZ18/AR18)</f>
        <v>38490.017945975058</v>
      </c>
      <c r="BB18" s="314">
        <f>'B01'!F1</f>
        <v>3.0025980762113531</v>
      </c>
    </row>
    <row r="19" spans="1:54" x14ac:dyDescent="0.3">
      <c r="A19" s="1" t="str">
        <f t="shared" si="0"/>
        <v/>
      </c>
      <c r="B19" s="1">
        <f>Input!B39</f>
        <v>14</v>
      </c>
      <c r="C19" s="1" t="str">
        <f>IF(Input!F39="","",Input!F39)</f>
        <v/>
      </c>
      <c r="D19" s="1" t="str">
        <f>IF(C19="","",IF(Input!G39="","none",Input!G39))</f>
        <v/>
      </c>
      <c r="E19" s="1" t="str">
        <f t="shared" si="16"/>
        <v/>
      </c>
      <c r="F19" s="1" t="str">
        <f t="shared" si="17"/>
        <v/>
      </c>
      <c r="G19" s="1" t="str">
        <f t="shared" si="18"/>
        <v/>
      </c>
      <c r="H19" s="8">
        <f>IF(G19="",0,IF(I19=0,0,Input!H39))</f>
        <v>0</v>
      </c>
      <c r="I19" s="235">
        <f>Input!I39</f>
        <v>1</v>
      </c>
      <c r="J19" s="8">
        <f t="shared" si="1"/>
        <v>0</v>
      </c>
      <c r="K19" s="216">
        <f>IF(I19=0,$P$31,IF(Input!J39="",$P$31,Input!J39))</f>
        <v>32.799999999999997</v>
      </c>
      <c r="M19" s="4" t="s">
        <v>345</v>
      </c>
      <c r="N19" s="452" t="str">
        <f>Input!H4</f>
        <v>UTILITY</v>
      </c>
      <c r="O19" s="4" t="s">
        <v>401</v>
      </c>
      <c r="P19" s="217"/>
      <c r="S19" t="s">
        <v>279</v>
      </c>
      <c r="U19" s="85" t="str">
        <f>U18</f>
        <v>6 Pulse w/ 3% Impedance</v>
      </c>
      <c r="V19" s="259" t="str">
        <f t="shared" si="28"/>
        <v>1.5% AC Reactor</v>
      </c>
      <c r="W19" s="1">
        <f t="shared" si="29"/>
        <v>0</v>
      </c>
      <c r="X19" s="1">
        <f t="shared" si="30"/>
        <v>0</v>
      </c>
      <c r="Y19" s="1">
        <f t="shared" si="31"/>
        <v>0</v>
      </c>
      <c r="Z19" s="218">
        <f t="shared" si="26"/>
        <v>0</v>
      </c>
      <c r="AA19" s="1">
        <f t="shared" si="32"/>
        <v>0</v>
      </c>
      <c r="AB19" s="219">
        <f t="shared" si="19"/>
        <v>0</v>
      </c>
      <c r="AC19" s="7">
        <f t="shared" si="20"/>
        <v>0</v>
      </c>
      <c r="AE19" s="2" t="s">
        <v>279</v>
      </c>
      <c r="AF19" s="250">
        <f>X19*0.746/Instructions!E$194/Instructions!E$195</f>
        <v>0</v>
      </c>
      <c r="AG19" s="250">
        <f>Y19*0.746/Instructions!E$194/Instructions!E$195</f>
        <v>0</v>
      </c>
      <c r="AH19" s="250">
        <v>0.98299999999999998</v>
      </c>
      <c r="AI19" s="250">
        <f t="shared" si="33"/>
        <v>0</v>
      </c>
      <c r="AJ19" s="250">
        <f t="shared" ref="AJ19:AJ26" si="42">SQRT(3)*P$21*AQ19/1000</f>
        <v>0</v>
      </c>
      <c r="AK19" s="250">
        <f t="shared" si="34"/>
        <v>0</v>
      </c>
      <c r="AL19" s="2"/>
      <c r="AM19" s="2" t="s">
        <v>279</v>
      </c>
      <c r="AN19" s="18">
        <f t="shared" si="35"/>
        <v>0</v>
      </c>
      <c r="AO19" s="18">
        <f t="shared" si="36"/>
        <v>0</v>
      </c>
      <c r="AP19" s="18">
        <f t="shared" si="37"/>
        <v>0</v>
      </c>
      <c r="AQ19" s="280">
        <f>'B02'!H$55</f>
        <v>0</v>
      </c>
      <c r="AR19" s="18">
        <f t="shared" si="23"/>
        <v>0</v>
      </c>
      <c r="AS19" s="18">
        <f t="shared" si="38"/>
        <v>0</v>
      </c>
      <c r="AT19" s="18">
        <f t="shared" ref="AT19:AT26" si="43">IF(AR19=0,0,100*AQ19/AR19)</f>
        <v>0</v>
      </c>
      <c r="AV19" s="2" t="s">
        <v>279</v>
      </c>
      <c r="AW19" s="8">
        <f t="shared" si="39"/>
        <v>19.098593171027439</v>
      </c>
      <c r="AX19" s="8">
        <f>AC19*Instructions!E$197</f>
        <v>0</v>
      </c>
      <c r="AY19" s="8">
        <f t="shared" si="24"/>
        <v>19.098593171027439</v>
      </c>
      <c r="AZ19" s="7">
        <f t="shared" si="40"/>
        <v>38490.017945975058</v>
      </c>
      <c r="BA19" s="7">
        <f t="shared" si="41"/>
        <v>38490.017945975058</v>
      </c>
      <c r="BB19" s="314">
        <f>'B02'!F1</f>
        <v>4.5025980762113536</v>
      </c>
    </row>
    <row r="20" spans="1:54" x14ac:dyDescent="0.3">
      <c r="A20" s="1" t="str">
        <f t="shared" si="0"/>
        <v/>
      </c>
      <c r="B20" s="1">
        <f>Input!B40</f>
        <v>15</v>
      </c>
      <c r="C20" s="1" t="str">
        <f>IF(Input!F40="","",Input!F40)</f>
        <v/>
      </c>
      <c r="D20" s="1" t="str">
        <f>IF(C20="","",IF(Input!G40="","none",Input!G40))</f>
        <v/>
      </c>
      <c r="E20" s="1" t="str">
        <f t="shared" si="16"/>
        <v/>
      </c>
      <c r="F20" s="1" t="str">
        <f t="shared" si="17"/>
        <v/>
      </c>
      <c r="G20" s="1" t="str">
        <f t="shared" si="18"/>
        <v/>
      </c>
      <c r="H20" s="8">
        <f>IF(G20="",0,IF(I20=0,0,Input!H40))</f>
        <v>0</v>
      </c>
      <c r="I20" s="235">
        <f>Input!I40</f>
        <v>1</v>
      </c>
      <c r="J20" s="8">
        <f t="shared" si="1"/>
        <v>0</v>
      </c>
      <c r="K20" s="216">
        <f>IF(I20=0,$P$31,IF(Input!J40="",$P$31,Input!J40))</f>
        <v>32.799999999999997</v>
      </c>
      <c r="M20" t="s">
        <v>40</v>
      </c>
      <c r="O20" t="s">
        <v>334</v>
      </c>
      <c r="P20" s="105">
        <f>Power!W4</f>
        <v>60</v>
      </c>
      <c r="S20" t="s">
        <v>280</v>
      </c>
      <c r="U20" s="85" t="str">
        <f t="shared" ref="U20:U26" si="44">U19</f>
        <v>6 Pulse w/ 3% Impedance</v>
      </c>
      <c r="V20" s="259" t="str">
        <f t="shared" si="28"/>
        <v>2.5% AC Reactor</v>
      </c>
      <c r="W20" s="1">
        <f t="shared" si="29"/>
        <v>0</v>
      </c>
      <c r="X20" s="1">
        <f t="shared" si="30"/>
        <v>0</v>
      </c>
      <c r="Y20" s="1">
        <f t="shared" si="31"/>
        <v>0</v>
      </c>
      <c r="Z20" s="218">
        <f t="shared" si="26"/>
        <v>0</v>
      </c>
      <c r="AA20" s="1">
        <f t="shared" si="32"/>
        <v>0</v>
      </c>
      <c r="AB20" s="219">
        <f t="shared" si="19"/>
        <v>0</v>
      </c>
      <c r="AC20" s="7">
        <f t="shared" si="20"/>
        <v>0</v>
      </c>
      <c r="AE20" s="2" t="s">
        <v>280</v>
      </c>
      <c r="AF20" s="250">
        <f>X20*0.746/Instructions!E$194/Instructions!E$195</f>
        <v>0</v>
      </c>
      <c r="AG20" s="250">
        <f>Y20*0.746/Instructions!E$194/Instructions!E$195</f>
        <v>0</v>
      </c>
      <c r="AH20" s="250">
        <v>0.97899999999999998</v>
      </c>
      <c r="AI20" s="250">
        <f t="shared" si="33"/>
        <v>0</v>
      </c>
      <c r="AJ20" s="250">
        <f t="shared" si="42"/>
        <v>0</v>
      </c>
      <c r="AK20" s="250">
        <f t="shared" si="34"/>
        <v>0</v>
      </c>
      <c r="AL20" s="2"/>
      <c r="AM20" s="2" t="s">
        <v>280</v>
      </c>
      <c r="AN20" s="18">
        <f t="shared" si="35"/>
        <v>0</v>
      </c>
      <c r="AO20" s="18">
        <f t="shared" si="36"/>
        <v>0</v>
      </c>
      <c r="AP20" s="18">
        <f t="shared" si="37"/>
        <v>0</v>
      </c>
      <c r="AQ20" s="280">
        <f>'B03'!H$55</f>
        <v>0</v>
      </c>
      <c r="AR20" s="18">
        <f t="shared" si="23"/>
        <v>0</v>
      </c>
      <c r="AS20" s="18">
        <f t="shared" si="38"/>
        <v>0</v>
      </c>
      <c r="AT20" s="18">
        <f t="shared" si="43"/>
        <v>0</v>
      </c>
      <c r="AV20" s="2" t="s">
        <v>280</v>
      </c>
      <c r="AW20" s="8">
        <f t="shared" si="39"/>
        <v>19.098593171027439</v>
      </c>
      <c r="AX20" s="8">
        <f>AC20*Instructions!E$197</f>
        <v>0</v>
      </c>
      <c r="AY20" s="8">
        <f t="shared" si="24"/>
        <v>19.098593171027439</v>
      </c>
      <c r="AZ20" s="7">
        <f t="shared" si="40"/>
        <v>38490.017945975058</v>
      </c>
      <c r="BA20" s="7">
        <f t="shared" si="41"/>
        <v>38490.017945975058</v>
      </c>
      <c r="BB20" s="314">
        <f>'B03'!F1</f>
        <v>5.5025980762113536</v>
      </c>
    </row>
    <row r="21" spans="1:54" x14ac:dyDescent="0.3">
      <c r="A21" s="1" t="str">
        <f t="shared" si="0"/>
        <v/>
      </c>
      <c r="B21" s="1">
        <f>Input!B41</f>
        <v>16</v>
      </c>
      <c r="C21" s="1" t="str">
        <f>IF(Input!F41="","",Input!F41)</f>
        <v/>
      </c>
      <c r="D21" s="1" t="str">
        <f>IF(C21="","",IF(Input!G41="","none",Input!G41))</f>
        <v/>
      </c>
      <c r="E21" s="1" t="str">
        <f t="shared" si="16"/>
        <v/>
      </c>
      <c r="F21" s="1" t="str">
        <f t="shared" si="17"/>
        <v/>
      </c>
      <c r="G21" s="1" t="str">
        <f t="shared" si="18"/>
        <v/>
      </c>
      <c r="H21" s="8">
        <f>IF(G21="",0,IF(I21=0,0,Input!H41))</f>
        <v>0</v>
      </c>
      <c r="I21" s="235">
        <f>Input!I41</f>
        <v>1</v>
      </c>
      <c r="J21" s="8">
        <f t="shared" si="1"/>
        <v>0</v>
      </c>
      <c r="K21" s="216">
        <f>IF(I21=0,$P$31,IF(Input!J41="",$P$31,Input!J41))</f>
        <v>32.799999999999997</v>
      </c>
      <c r="M21" t="s">
        <v>346</v>
      </c>
      <c r="O21" t="s">
        <v>333</v>
      </c>
      <c r="P21" s="105">
        <f>Power!AF5</f>
        <v>480</v>
      </c>
      <c r="S21" s="2" t="s">
        <v>281</v>
      </c>
      <c r="T21" s="5"/>
      <c r="U21" s="85" t="str">
        <f t="shared" si="44"/>
        <v>6 Pulse w/ 3% Impedance</v>
      </c>
      <c r="V21" s="259" t="str">
        <f t="shared" si="28"/>
        <v>3% AC Reactor</v>
      </c>
      <c r="W21" s="5">
        <f t="shared" si="29"/>
        <v>0</v>
      </c>
      <c r="X21" s="1">
        <f t="shared" si="30"/>
        <v>0</v>
      </c>
      <c r="Y21" s="1">
        <f t="shared" si="31"/>
        <v>0</v>
      </c>
      <c r="Z21" s="218">
        <f t="shared" si="26"/>
        <v>0</v>
      </c>
      <c r="AA21" s="1">
        <f t="shared" si="32"/>
        <v>0</v>
      </c>
      <c r="AB21" s="219">
        <f t="shared" si="19"/>
        <v>0</v>
      </c>
      <c r="AC21" s="7">
        <f t="shared" si="20"/>
        <v>0</v>
      </c>
      <c r="AE21" s="2" t="s">
        <v>281</v>
      </c>
      <c r="AF21" s="250">
        <f>X21*0.746/Instructions!E$194/Instructions!E$195</f>
        <v>0</v>
      </c>
      <c r="AG21" s="250">
        <f>Y21*0.746/Instructions!E$194/Instructions!E$195</f>
        <v>0</v>
      </c>
      <c r="AH21" s="250">
        <v>0.97799999999999998</v>
      </c>
      <c r="AI21" s="250">
        <f t="shared" si="33"/>
        <v>0</v>
      </c>
      <c r="AJ21" s="250">
        <f t="shared" si="42"/>
        <v>0</v>
      </c>
      <c r="AK21" s="250">
        <f t="shared" si="34"/>
        <v>0</v>
      </c>
      <c r="AL21" s="2"/>
      <c r="AM21" s="2" t="s">
        <v>281</v>
      </c>
      <c r="AN21" s="18">
        <f t="shared" si="35"/>
        <v>0</v>
      </c>
      <c r="AO21" s="18">
        <f t="shared" si="36"/>
        <v>0</v>
      </c>
      <c r="AP21" s="18">
        <f t="shared" si="37"/>
        <v>0</v>
      </c>
      <c r="AQ21" s="280">
        <f>'B04'!H$55</f>
        <v>0</v>
      </c>
      <c r="AR21" s="18">
        <f t="shared" si="23"/>
        <v>0</v>
      </c>
      <c r="AS21" s="18">
        <f t="shared" si="38"/>
        <v>0</v>
      </c>
      <c r="AT21" s="18">
        <f t="shared" si="43"/>
        <v>0</v>
      </c>
      <c r="AV21" s="2" t="s">
        <v>281</v>
      </c>
      <c r="AW21" s="8">
        <f t="shared" si="39"/>
        <v>19.098593171027439</v>
      </c>
      <c r="AX21" s="8">
        <f>AC21*Instructions!E$197</f>
        <v>0</v>
      </c>
      <c r="AY21" s="8">
        <f t="shared" si="24"/>
        <v>19.098593171027439</v>
      </c>
      <c r="AZ21" s="7">
        <f t="shared" si="40"/>
        <v>38490.017945975058</v>
      </c>
      <c r="BA21" s="7">
        <f t="shared" si="41"/>
        <v>38490.017945975058</v>
      </c>
      <c r="BB21" s="314">
        <f>'B04'!F1</f>
        <v>6.0025980762113536</v>
      </c>
    </row>
    <row r="22" spans="1:54" x14ac:dyDescent="0.3">
      <c r="A22" s="1" t="str">
        <f t="shared" si="0"/>
        <v/>
      </c>
      <c r="B22" s="1">
        <f>Input!B42</f>
        <v>17</v>
      </c>
      <c r="C22" s="1" t="str">
        <f>IF(Input!F42="","",Input!F42)</f>
        <v/>
      </c>
      <c r="D22" s="1" t="str">
        <f>IF(C22="","",IF(Input!G42="","none",Input!G42))</f>
        <v/>
      </c>
      <c r="E22" s="1" t="str">
        <f t="shared" si="16"/>
        <v/>
      </c>
      <c r="F22" s="1" t="str">
        <f t="shared" si="17"/>
        <v/>
      </c>
      <c r="G22" s="1" t="str">
        <f t="shared" si="18"/>
        <v/>
      </c>
      <c r="H22" s="8">
        <f>IF(G22="",0,IF(I22=0,0,Input!H42))</f>
        <v>0</v>
      </c>
      <c r="I22" s="235">
        <f>Input!I42</f>
        <v>1</v>
      </c>
      <c r="J22" s="8">
        <f t="shared" si="1"/>
        <v>0</v>
      </c>
      <c r="K22" s="216">
        <f>IF(I22=0,$P$31,IF(Input!J42="",$P$31,Input!J42))</f>
        <v>32.799999999999997</v>
      </c>
      <c r="O22" t="s">
        <v>23</v>
      </c>
      <c r="P22" s="264">
        <f>Power!AF21</f>
        <v>38.490017945975055</v>
      </c>
      <c r="S22" s="2" t="s">
        <v>282</v>
      </c>
      <c r="T22" s="5"/>
      <c r="U22" s="85" t="str">
        <f t="shared" si="44"/>
        <v>6 Pulse w/ 3% Impedance</v>
      </c>
      <c r="V22" s="259" t="str">
        <f t="shared" si="28"/>
        <v>5% AC Reactor</v>
      </c>
      <c r="W22" s="5">
        <f t="shared" si="29"/>
        <v>0</v>
      </c>
      <c r="X22" s="1">
        <f t="shared" si="30"/>
        <v>0</v>
      </c>
      <c r="Y22" s="1">
        <f t="shared" si="31"/>
        <v>0</v>
      </c>
      <c r="Z22" s="218">
        <f t="shared" si="26"/>
        <v>0</v>
      </c>
      <c r="AA22" s="1">
        <f t="shared" si="32"/>
        <v>0</v>
      </c>
      <c r="AB22" s="219">
        <f t="shared" si="19"/>
        <v>0</v>
      </c>
      <c r="AC22" s="7">
        <f t="shared" si="20"/>
        <v>0</v>
      </c>
      <c r="AE22" s="2" t="s">
        <v>282</v>
      </c>
      <c r="AF22" s="250">
        <f>X22*0.746/Instructions!E$194/Instructions!E$195</f>
        <v>0</v>
      </c>
      <c r="AG22" s="250">
        <f>Y22*0.746/Instructions!E$194/Instructions!E$195</f>
        <v>0</v>
      </c>
      <c r="AH22" s="250">
        <v>0.97</v>
      </c>
      <c r="AI22" s="250">
        <f t="shared" si="33"/>
        <v>0</v>
      </c>
      <c r="AJ22" s="250">
        <f t="shared" si="42"/>
        <v>0</v>
      </c>
      <c r="AK22" s="250">
        <f t="shared" si="34"/>
        <v>0</v>
      </c>
      <c r="AL22" s="2"/>
      <c r="AM22" s="2" t="s">
        <v>282</v>
      </c>
      <c r="AN22" s="18">
        <f t="shared" si="35"/>
        <v>0</v>
      </c>
      <c r="AO22" s="18">
        <f t="shared" si="36"/>
        <v>0</v>
      </c>
      <c r="AP22" s="18">
        <f t="shared" si="37"/>
        <v>0</v>
      </c>
      <c r="AQ22" s="280">
        <f>'B05'!H$55</f>
        <v>0</v>
      </c>
      <c r="AR22" s="18">
        <f t="shared" si="23"/>
        <v>0</v>
      </c>
      <c r="AS22" s="18">
        <f t="shared" si="38"/>
        <v>0</v>
      </c>
      <c r="AT22" s="18">
        <f t="shared" si="43"/>
        <v>0</v>
      </c>
      <c r="AV22" s="2" t="s">
        <v>282</v>
      </c>
      <c r="AW22" s="8">
        <f t="shared" si="39"/>
        <v>19.098593171027439</v>
      </c>
      <c r="AX22" s="8">
        <f>AC22*Instructions!E$197</f>
        <v>0</v>
      </c>
      <c r="AY22" s="8">
        <f t="shared" si="24"/>
        <v>19.098593171027439</v>
      </c>
      <c r="AZ22" s="7">
        <f t="shared" si="40"/>
        <v>38490.017945975058</v>
      </c>
      <c r="BA22" s="7">
        <f t="shared" si="41"/>
        <v>38490.017945975058</v>
      </c>
      <c r="BB22" s="314">
        <f>'B05'!F1</f>
        <v>8.0025980762113527</v>
      </c>
    </row>
    <row r="23" spans="1:54" x14ac:dyDescent="0.3">
      <c r="A23" s="1" t="str">
        <f t="shared" si="0"/>
        <v/>
      </c>
      <c r="B23" s="1">
        <f>Input!B43</f>
        <v>18</v>
      </c>
      <c r="C23" s="1" t="str">
        <f>IF(Input!F43="","",Input!F43)</f>
        <v/>
      </c>
      <c r="D23" s="1" t="str">
        <f>IF(C23="","",IF(Input!G43="","none",Input!G43))</f>
        <v/>
      </c>
      <c r="E23" s="1" t="str">
        <f t="shared" si="16"/>
        <v/>
      </c>
      <c r="F23" s="1" t="str">
        <f t="shared" si="17"/>
        <v/>
      </c>
      <c r="G23" s="1" t="str">
        <f t="shared" si="18"/>
        <v/>
      </c>
      <c r="H23" s="8">
        <f>IF(G23="",0,IF(I23=0,0,Input!H43))</f>
        <v>0</v>
      </c>
      <c r="I23" s="235">
        <f>Input!I43</f>
        <v>1</v>
      </c>
      <c r="J23" s="8">
        <f t="shared" si="1"/>
        <v>0</v>
      </c>
      <c r="K23" s="216">
        <f>IF(I23=0,$P$31,IF(Input!J43="",$P$31,Input!J43))</f>
        <v>32.799999999999997</v>
      </c>
      <c r="O23" t="s">
        <v>198</v>
      </c>
      <c r="P23" s="244">
        <f>Power!AF19</f>
        <v>19.098593171027439</v>
      </c>
      <c r="S23" t="s">
        <v>283</v>
      </c>
      <c r="U23" s="85" t="str">
        <f t="shared" si="44"/>
        <v>6 Pulse w/ 3% Impedance</v>
      </c>
      <c r="V23" s="259" t="str">
        <f t="shared" si="28"/>
        <v>7% AC Reactor</v>
      </c>
      <c r="W23" s="1">
        <f t="shared" si="29"/>
        <v>0</v>
      </c>
      <c r="X23" s="1">
        <f t="shared" si="30"/>
        <v>0</v>
      </c>
      <c r="Y23" s="1">
        <f t="shared" si="31"/>
        <v>0</v>
      </c>
      <c r="Z23" s="218">
        <f t="shared" si="26"/>
        <v>0</v>
      </c>
      <c r="AA23" s="1">
        <f t="shared" si="32"/>
        <v>0</v>
      </c>
      <c r="AB23" s="219">
        <f t="shared" si="19"/>
        <v>0</v>
      </c>
      <c r="AC23" s="7">
        <f t="shared" si="20"/>
        <v>0</v>
      </c>
      <c r="AE23" s="2" t="s">
        <v>283</v>
      </c>
      <c r="AF23" s="250">
        <f>X23*0.746/Instructions!E$194/Instructions!E$195</f>
        <v>0</v>
      </c>
      <c r="AG23" s="250">
        <f>Y23*0.746/Instructions!E$194/Instructions!E$195</f>
        <v>0</v>
      </c>
      <c r="AH23" s="250">
        <v>0.96299999999999997</v>
      </c>
      <c r="AI23" s="250">
        <f t="shared" si="33"/>
        <v>0</v>
      </c>
      <c r="AJ23" s="250">
        <f t="shared" si="42"/>
        <v>0</v>
      </c>
      <c r="AK23" s="250">
        <f t="shared" si="34"/>
        <v>0</v>
      </c>
      <c r="AL23" s="2"/>
      <c r="AM23" s="2" t="s">
        <v>283</v>
      </c>
      <c r="AN23" s="18">
        <f t="shared" si="35"/>
        <v>0</v>
      </c>
      <c r="AO23" s="18">
        <f t="shared" si="36"/>
        <v>0</v>
      </c>
      <c r="AP23" s="18">
        <f t="shared" si="37"/>
        <v>0</v>
      </c>
      <c r="AQ23" s="280">
        <f>'B06'!H$55</f>
        <v>0</v>
      </c>
      <c r="AR23" s="18">
        <f t="shared" si="23"/>
        <v>0</v>
      </c>
      <c r="AS23" s="18">
        <f t="shared" si="38"/>
        <v>0</v>
      </c>
      <c r="AT23" s="18">
        <f t="shared" si="43"/>
        <v>0</v>
      </c>
      <c r="AV23" t="s">
        <v>283</v>
      </c>
      <c r="AW23" s="8">
        <f t="shared" si="39"/>
        <v>19.098593171027439</v>
      </c>
      <c r="AX23" s="8">
        <f>AC23*Instructions!E$197</f>
        <v>0</v>
      </c>
      <c r="AY23" s="8">
        <f t="shared" si="24"/>
        <v>19.098593171027439</v>
      </c>
      <c r="AZ23" s="7">
        <f t="shared" si="40"/>
        <v>38490.017945975058</v>
      </c>
      <c r="BA23" s="7">
        <f t="shared" si="41"/>
        <v>38490.017945975058</v>
      </c>
      <c r="BB23" s="314">
        <f>'B06'!F1</f>
        <v>10.002598076211353</v>
      </c>
    </row>
    <row r="24" spans="1:54" x14ac:dyDescent="0.3">
      <c r="A24" s="1" t="str">
        <f t="shared" si="0"/>
        <v/>
      </c>
      <c r="B24" s="1">
        <f>Input!B44</f>
        <v>19</v>
      </c>
      <c r="C24" s="1" t="str">
        <f>IF(Input!F44="","",Input!F44)</f>
        <v/>
      </c>
      <c r="D24" s="1" t="str">
        <f>IF(C24="","",IF(Input!G44="","none",Input!G44))</f>
        <v/>
      </c>
      <c r="E24" s="1" t="str">
        <f t="shared" si="16"/>
        <v/>
      </c>
      <c r="F24" s="1" t="str">
        <f t="shared" si="17"/>
        <v/>
      </c>
      <c r="G24" s="1" t="str">
        <f t="shared" si="18"/>
        <v/>
      </c>
      <c r="H24" s="8">
        <f>IF(G24="",0,IF(I24=0,0,Input!H44))</f>
        <v>0</v>
      </c>
      <c r="I24" s="235">
        <f>Input!I44</f>
        <v>1</v>
      </c>
      <c r="J24" s="8">
        <f t="shared" si="1"/>
        <v>0</v>
      </c>
      <c r="K24" s="216">
        <f>IF(I24=0,$P$31,IF(Input!J44="",$P$31,Input!J44))</f>
        <v>32.799999999999997</v>
      </c>
      <c r="M24" s="4" t="s">
        <v>347</v>
      </c>
      <c r="N24" s="452" t="str">
        <f>Power!AG12</f>
        <v>XFMR Pri</v>
      </c>
      <c r="P24" s="217"/>
      <c r="S24" t="s">
        <v>284</v>
      </c>
      <c r="U24" s="85" t="str">
        <f t="shared" si="44"/>
        <v>6 Pulse w/ 3% Impedance</v>
      </c>
      <c r="V24" s="259" t="str">
        <f t="shared" si="28"/>
        <v>10% AC Reactor</v>
      </c>
      <c r="W24" s="1">
        <f t="shared" si="29"/>
        <v>0</v>
      </c>
      <c r="X24" s="1">
        <f t="shared" si="30"/>
        <v>0</v>
      </c>
      <c r="Y24" s="1">
        <f t="shared" si="31"/>
        <v>0</v>
      </c>
      <c r="Z24" s="218">
        <f t="shared" si="26"/>
        <v>0</v>
      </c>
      <c r="AA24" s="1">
        <f t="shared" si="32"/>
        <v>0</v>
      </c>
      <c r="AB24" s="219">
        <f t="shared" si="19"/>
        <v>0</v>
      </c>
      <c r="AC24" s="7">
        <f t="shared" si="20"/>
        <v>0</v>
      </c>
      <c r="AE24" s="2" t="s">
        <v>284</v>
      </c>
      <c r="AF24" s="250">
        <f>X24*0.746/Instructions!E$194/Instructions!E$195</f>
        <v>0</v>
      </c>
      <c r="AG24" s="250">
        <f>Y24*0.746/Instructions!E$194/Instructions!E$195</f>
        <v>0</v>
      </c>
      <c r="AH24" s="250">
        <v>0.95099999999999996</v>
      </c>
      <c r="AI24" s="250">
        <f t="shared" si="33"/>
        <v>0</v>
      </c>
      <c r="AJ24" s="250">
        <f t="shared" si="42"/>
        <v>0</v>
      </c>
      <c r="AK24" s="250">
        <f t="shared" si="34"/>
        <v>0</v>
      </c>
      <c r="AL24" s="2"/>
      <c r="AM24" s="2" t="s">
        <v>284</v>
      </c>
      <c r="AN24" s="18">
        <f t="shared" si="35"/>
        <v>0</v>
      </c>
      <c r="AO24" s="18">
        <f t="shared" si="36"/>
        <v>0</v>
      </c>
      <c r="AP24" s="18">
        <f t="shared" si="37"/>
        <v>0</v>
      </c>
      <c r="AQ24" s="280">
        <f>'B07'!H$55</f>
        <v>0</v>
      </c>
      <c r="AR24" s="18">
        <f t="shared" si="23"/>
        <v>0</v>
      </c>
      <c r="AS24" s="18">
        <f t="shared" si="38"/>
        <v>0</v>
      </c>
      <c r="AT24" s="18">
        <f t="shared" si="43"/>
        <v>0</v>
      </c>
      <c r="AV24" t="s">
        <v>284</v>
      </c>
      <c r="AW24" s="8">
        <f t="shared" si="39"/>
        <v>19.098593171027439</v>
      </c>
      <c r="AX24" s="8">
        <f>AC24*Instructions!E$197</f>
        <v>0</v>
      </c>
      <c r="AY24" s="8">
        <f t="shared" si="24"/>
        <v>19.098593171027439</v>
      </c>
      <c r="AZ24" s="7">
        <f t="shared" si="40"/>
        <v>38490.017945975058</v>
      </c>
      <c r="BA24" s="7">
        <f t="shared" si="41"/>
        <v>38490.017945975058</v>
      </c>
      <c r="BB24" s="314">
        <f>'B07'!F1</f>
        <v>13.002598076211353</v>
      </c>
    </row>
    <row r="25" spans="1:54" x14ac:dyDescent="0.3">
      <c r="A25" s="1" t="str">
        <f t="shared" si="0"/>
        <v/>
      </c>
      <c r="B25" s="1">
        <f>Input!B45</f>
        <v>20</v>
      </c>
      <c r="C25" s="1" t="str">
        <f>IF(Input!F45="","",Input!F45)</f>
        <v/>
      </c>
      <c r="D25" s="1" t="str">
        <f>IF(C25="","",IF(Input!G45="","none",Input!G45))</f>
        <v/>
      </c>
      <c r="E25" s="1" t="str">
        <f t="shared" si="16"/>
        <v/>
      </c>
      <c r="F25" s="1" t="str">
        <f t="shared" si="17"/>
        <v/>
      </c>
      <c r="G25" s="1" t="str">
        <f t="shared" si="18"/>
        <v/>
      </c>
      <c r="H25" s="8">
        <f>IF(G25="",0,IF(I25=0,0,Input!H45))</f>
        <v>0</v>
      </c>
      <c r="I25" s="235">
        <f>Input!I45</f>
        <v>1</v>
      </c>
      <c r="J25" s="8">
        <f t="shared" si="1"/>
        <v>0</v>
      </c>
      <c r="K25" s="216">
        <f>IF(I25=0,$P$31,IF(Input!J45="",$P$31,Input!J45))</f>
        <v>32.799999999999997</v>
      </c>
      <c r="M25" t="s">
        <v>189</v>
      </c>
      <c r="P25" s="217"/>
      <c r="S25" t="s">
        <v>285</v>
      </c>
      <c r="U25" s="85" t="str">
        <f t="shared" si="44"/>
        <v>6 Pulse w/ 3% Impedance</v>
      </c>
      <c r="V25" s="259" t="str">
        <f t="shared" si="28"/>
        <v>7% THDi Passive Filter</v>
      </c>
      <c r="W25" s="1">
        <f t="shared" si="29"/>
        <v>0</v>
      </c>
      <c r="X25" s="1">
        <f t="shared" si="30"/>
        <v>0</v>
      </c>
      <c r="Y25" s="1">
        <f t="shared" si="31"/>
        <v>0</v>
      </c>
      <c r="Z25" s="218">
        <f t="shared" si="26"/>
        <v>0</v>
      </c>
      <c r="AA25" s="1">
        <f t="shared" si="32"/>
        <v>0</v>
      </c>
      <c r="AB25" s="219">
        <f t="shared" si="19"/>
        <v>0</v>
      </c>
      <c r="AC25" s="7">
        <f t="shared" si="20"/>
        <v>0</v>
      </c>
      <c r="AE25" s="2" t="s">
        <v>285</v>
      </c>
      <c r="AF25" s="250">
        <f>X25*0.746/Instructions!E$194/Instructions!E$195</f>
        <v>0</v>
      </c>
      <c r="AG25" s="250">
        <f>Y25*0.746/Instructions!E$194/Instructions!E$195</f>
        <v>0</v>
      </c>
      <c r="AH25" s="250">
        <v>0.999</v>
      </c>
      <c r="AI25" s="250">
        <f>SQRT(3)*P$21*AP25/1000</f>
        <v>0</v>
      </c>
      <c r="AJ25" s="250">
        <f t="shared" si="42"/>
        <v>0</v>
      </c>
      <c r="AK25" s="250">
        <f t="shared" si="34"/>
        <v>0</v>
      </c>
      <c r="AL25" s="2"/>
      <c r="AM25" s="2" t="s">
        <v>285</v>
      </c>
      <c r="AN25" s="18">
        <f t="shared" si="35"/>
        <v>0</v>
      </c>
      <c r="AO25" s="18">
        <f t="shared" si="36"/>
        <v>0</v>
      </c>
      <c r="AP25" s="280">
        <f>'B08'!J12</f>
        <v>0</v>
      </c>
      <c r="AQ25" s="280">
        <f>'B08'!H$55</f>
        <v>0</v>
      </c>
      <c r="AR25" s="18">
        <f>SQRT(SUMSQ(AO25,AP25))</f>
        <v>0</v>
      </c>
      <c r="AS25" s="18">
        <f t="shared" si="38"/>
        <v>0</v>
      </c>
      <c r="AT25" s="18">
        <f t="shared" si="43"/>
        <v>0</v>
      </c>
      <c r="AV25" t="s">
        <v>285</v>
      </c>
      <c r="AW25" s="8">
        <f t="shared" si="39"/>
        <v>19.098593171027439</v>
      </c>
      <c r="AX25" s="8">
        <f>AC25*Instructions!E$197</f>
        <v>0</v>
      </c>
      <c r="AY25" s="8">
        <f t="shared" si="24"/>
        <v>19.098593171027439</v>
      </c>
      <c r="AZ25" s="7">
        <f>IF(AR25=0,1000*P$22,(P$21/(SQRT(3)*2*PI()*P$20*AY25/1000000)))</f>
        <v>38490.017945975058</v>
      </c>
      <c r="BA25" s="7">
        <f>IF(AR25=0,1000*P$22,AZ25/AR25)</f>
        <v>38490.017945975058</v>
      </c>
      <c r="BB25" s="314">
        <f>'B08'!F1</f>
        <v>3.0025980762113531</v>
      </c>
    </row>
    <row r="26" spans="1:54" x14ac:dyDescent="0.3">
      <c r="A26" s="1" t="str">
        <f t="shared" si="0"/>
        <v/>
      </c>
      <c r="B26" s="1">
        <f>Input!B46</f>
        <v>21</v>
      </c>
      <c r="C26" s="1" t="str">
        <f>IF(Input!F46="","",Input!F46)</f>
        <v/>
      </c>
      <c r="D26" s="1" t="str">
        <f>IF(C26="","",IF(Input!G46="","none",Input!G46))</f>
        <v/>
      </c>
      <c r="E26" s="1" t="str">
        <f t="shared" si="16"/>
        <v/>
      </c>
      <c r="F26" s="1" t="str">
        <f t="shared" si="17"/>
        <v/>
      </c>
      <c r="G26" s="1" t="str">
        <f t="shared" si="18"/>
        <v/>
      </c>
      <c r="H26" s="8">
        <f>IF(G26="",0,IF(I26=0,0,Input!H46))</f>
        <v>0</v>
      </c>
      <c r="I26" s="235">
        <f>Input!I46</f>
        <v>1</v>
      </c>
      <c r="J26" s="8">
        <f t="shared" si="1"/>
        <v>0</v>
      </c>
      <c r="K26" s="216">
        <f>IF(I26=0,$P$31,IF(Input!J46="",$P$31,Input!J46))</f>
        <v>32.799999999999997</v>
      </c>
      <c r="M26" t="s">
        <v>190</v>
      </c>
      <c r="P26" s="217"/>
      <c r="S26" t="s">
        <v>286</v>
      </c>
      <c r="U26" s="85" t="str">
        <f t="shared" si="44"/>
        <v>6 Pulse w/ 3% Impedance</v>
      </c>
      <c r="V26" s="259" t="str">
        <f t="shared" si="28"/>
        <v>5% THDi Passive Filter</v>
      </c>
      <c r="W26" s="1">
        <f t="shared" si="29"/>
        <v>0</v>
      </c>
      <c r="X26" s="1">
        <f t="shared" si="30"/>
        <v>0</v>
      </c>
      <c r="Y26" s="1">
        <f t="shared" si="31"/>
        <v>0</v>
      </c>
      <c r="Z26" s="218">
        <f t="shared" si="26"/>
        <v>0</v>
      </c>
      <c r="AA26" s="1">
        <f t="shared" si="32"/>
        <v>0</v>
      </c>
      <c r="AB26" s="219">
        <f t="shared" si="19"/>
        <v>0</v>
      </c>
      <c r="AC26" s="7">
        <f t="shared" si="20"/>
        <v>0</v>
      </c>
      <c r="AE26" s="2" t="s">
        <v>286</v>
      </c>
      <c r="AF26" s="250">
        <f>X26*0.746/Instructions!E$194/Instructions!E$195</f>
        <v>0</v>
      </c>
      <c r="AG26" s="250">
        <f>Y26*0.746/Instructions!E$194/Instructions!E$195</f>
        <v>0</v>
      </c>
      <c r="AH26" s="250">
        <v>0.99299999999999999</v>
      </c>
      <c r="AI26" s="250">
        <f>SQRT(3)*P$21*AP26/1000</f>
        <v>0</v>
      </c>
      <c r="AJ26" s="250">
        <f t="shared" si="42"/>
        <v>0</v>
      </c>
      <c r="AK26" s="250">
        <f t="shared" si="34"/>
        <v>0</v>
      </c>
      <c r="AL26" s="2"/>
      <c r="AM26" s="2" t="s">
        <v>286</v>
      </c>
      <c r="AN26" s="18">
        <f t="shared" si="35"/>
        <v>0</v>
      </c>
      <c r="AO26" s="18">
        <f t="shared" si="36"/>
        <v>0</v>
      </c>
      <c r="AP26" s="280">
        <f>'B09'!J12</f>
        <v>0</v>
      </c>
      <c r="AQ26" s="280">
        <f>'B09'!H$55</f>
        <v>0</v>
      </c>
      <c r="AR26" s="18">
        <f>SQRT(SUMSQ(AO26,AP26))</f>
        <v>0</v>
      </c>
      <c r="AS26" s="18">
        <f t="shared" si="38"/>
        <v>0</v>
      </c>
      <c r="AT26" s="18">
        <f t="shared" si="43"/>
        <v>0</v>
      </c>
      <c r="AV26" t="s">
        <v>286</v>
      </c>
      <c r="AW26" s="8">
        <f t="shared" si="39"/>
        <v>19.098593171027439</v>
      </c>
      <c r="AX26" s="8">
        <f>AC26*Instructions!E$197</f>
        <v>0</v>
      </c>
      <c r="AY26" s="8">
        <f t="shared" si="24"/>
        <v>19.098593171027439</v>
      </c>
      <c r="AZ26" s="7">
        <f>IF(AR26=0,1000*P$22,(P$21/(SQRT(3)*2*PI()*P$20*AY26/1000000)))</f>
        <v>38490.017945975058</v>
      </c>
      <c r="BA26" s="7">
        <f>IF(AR26=0,1000*P$22,AZ26/AR26)</f>
        <v>38490.017945975058</v>
      </c>
      <c r="BB26" s="314">
        <f>'B09'!F1</f>
        <v>3.0025980762113531</v>
      </c>
    </row>
    <row r="27" spans="1:54" x14ac:dyDescent="0.3">
      <c r="A27" s="1" t="str">
        <f t="shared" si="0"/>
        <v/>
      </c>
      <c r="B27" s="1">
        <f>Input!B47</f>
        <v>22</v>
      </c>
      <c r="C27" s="1" t="str">
        <f>IF(Input!F47="","",Input!F47)</f>
        <v/>
      </c>
      <c r="D27" s="1" t="str">
        <f>IF(C27="","",IF(Input!G47="","none",Input!G47))</f>
        <v/>
      </c>
      <c r="E27" s="1" t="str">
        <f t="shared" si="16"/>
        <v/>
      </c>
      <c r="F27" s="1" t="str">
        <f t="shared" si="17"/>
        <v/>
      </c>
      <c r="G27" s="1" t="str">
        <f t="shared" si="18"/>
        <v/>
      </c>
      <c r="H27" s="8">
        <f>IF(G27="",0,IF(I27=0,0,Input!H47))</f>
        <v>0</v>
      </c>
      <c r="I27" s="235">
        <f>Input!I47</f>
        <v>1</v>
      </c>
      <c r="J27" s="8">
        <f t="shared" si="1"/>
        <v>0</v>
      </c>
      <c r="K27" s="216">
        <f>IF(I27=0,$P$31,IF(Input!J47="",$P$31,Input!J47))</f>
        <v>32.799999999999997</v>
      </c>
      <c r="M27" t="s">
        <v>191</v>
      </c>
      <c r="O27" s="4" t="s">
        <v>862</v>
      </c>
      <c r="P27" s="217"/>
      <c r="U27" s="85"/>
      <c r="V27" s="85"/>
      <c r="Z27" s="218"/>
      <c r="AC27" s="7"/>
      <c r="AE27" s="2"/>
      <c r="AF27" s="250"/>
      <c r="AG27" s="250"/>
      <c r="AH27" s="250"/>
      <c r="AI27" s="250"/>
      <c r="AJ27" s="250"/>
      <c r="AK27" s="250"/>
      <c r="AL27" s="2"/>
      <c r="AM27" s="2"/>
      <c r="AN27" s="18"/>
      <c r="AO27" s="18"/>
      <c r="AP27" s="18"/>
      <c r="AQ27" s="18"/>
      <c r="AR27" s="18"/>
      <c r="AS27" s="18"/>
      <c r="AT27" s="18"/>
      <c r="AW27" s="8"/>
      <c r="AX27" s="8"/>
      <c r="AY27" s="8"/>
      <c r="AZ27" s="7"/>
      <c r="BA27" s="7"/>
    </row>
    <row r="28" spans="1:54" x14ac:dyDescent="0.3">
      <c r="A28" s="1" t="str">
        <f t="shared" si="0"/>
        <v/>
      </c>
      <c r="B28" s="1">
        <f>Input!B48</f>
        <v>23</v>
      </c>
      <c r="C28" s="1" t="str">
        <f>IF(Input!F48="","",Input!F48)</f>
        <v/>
      </c>
      <c r="D28" s="1" t="str">
        <f>IF(C28="","",IF(Input!G48="","none",Input!G48))</f>
        <v/>
      </c>
      <c r="E28" s="1" t="str">
        <f t="shared" si="16"/>
        <v/>
      </c>
      <c r="F28" s="1" t="str">
        <f t="shared" si="17"/>
        <v/>
      </c>
      <c r="G28" s="1" t="str">
        <f t="shared" si="18"/>
        <v/>
      </c>
      <c r="H28" s="8">
        <f>IF(G28="",0,IF(I28=0,0,Input!H48))</f>
        <v>0</v>
      </c>
      <c r="I28" s="235">
        <f>Input!I48</f>
        <v>1</v>
      </c>
      <c r="J28" s="8">
        <f t="shared" si="1"/>
        <v>0</v>
      </c>
      <c r="K28" s="216">
        <f>IF(I28=0,$P$31,IF(Input!J48="",$P$31,Input!J48))</f>
        <v>32.799999999999997</v>
      </c>
      <c r="U28" s="85"/>
      <c r="V28" s="85"/>
      <c r="Z28" s="218"/>
      <c r="AC28" s="7"/>
      <c r="AE28" s="2"/>
      <c r="AF28" s="250"/>
      <c r="AG28" s="250"/>
      <c r="AH28" s="250"/>
      <c r="AI28" s="250"/>
      <c r="AJ28" s="250"/>
      <c r="AK28" s="250"/>
      <c r="AL28" s="2"/>
      <c r="AM28" s="2"/>
      <c r="AN28" s="18"/>
      <c r="AO28" s="18"/>
      <c r="AP28" s="18"/>
      <c r="AQ28" s="18"/>
      <c r="AR28" s="18"/>
      <c r="AS28" s="18"/>
      <c r="AT28" s="18"/>
      <c r="AW28" s="8"/>
      <c r="AX28" s="8"/>
      <c r="AY28" s="8"/>
      <c r="AZ28" s="7"/>
      <c r="BA28" s="7"/>
    </row>
    <row r="29" spans="1:54" x14ac:dyDescent="0.3">
      <c r="A29" s="1" t="str">
        <f t="shared" si="0"/>
        <v/>
      </c>
      <c r="B29" s="1">
        <f>Input!B49</f>
        <v>24</v>
      </c>
      <c r="C29" s="1" t="str">
        <f>IF(Input!F49="","",Input!F49)</f>
        <v/>
      </c>
      <c r="D29" s="1" t="str">
        <f>IF(C29="","",IF(Input!G49="","none",Input!G49))</f>
        <v/>
      </c>
      <c r="E29" s="1" t="str">
        <f t="shared" si="16"/>
        <v/>
      </c>
      <c r="F29" s="1" t="str">
        <f t="shared" si="17"/>
        <v/>
      </c>
      <c r="G29" s="1" t="str">
        <f t="shared" si="18"/>
        <v/>
      </c>
      <c r="H29" s="8">
        <f>IF(G29="",0,IF(I29=0,0,Input!H49))</f>
        <v>0</v>
      </c>
      <c r="I29" s="235">
        <f>Input!I49</f>
        <v>1</v>
      </c>
      <c r="J29" s="8">
        <f t="shared" si="1"/>
        <v>0</v>
      </c>
      <c r="K29" s="216">
        <f>IF(I29=0,$P$31,IF(Input!J49="",$P$31,Input!J49))</f>
        <v>32.799999999999997</v>
      </c>
      <c r="O29" s="9" t="s">
        <v>774</v>
      </c>
      <c r="P29" s="439">
        <f>Instructions!E194</f>
        <v>0.95</v>
      </c>
      <c r="S29" s="257" t="s">
        <v>357</v>
      </c>
      <c r="T29" s="261"/>
      <c r="U29" s="258" t="str">
        <f>U17</f>
        <v>Drive</v>
      </c>
      <c r="V29" s="258" t="str">
        <f t="shared" ref="V29:BA29" si="45">V17</f>
        <v>Filter</v>
      </c>
      <c r="W29" s="258" t="str">
        <f t="shared" si="45"/>
        <v>Count</v>
      </c>
      <c r="X29" s="258" t="str">
        <f t="shared" si="45"/>
        <v>total rated HP</v>
      </c>
      <c r="Y29" s="258" t="str">
        <f t="shared" si="45"/>
        <v>total actual HP</v>
      </c>
      <c r="Z29" s="258" t="str">
        <f t="shared" si="45"/>
        <v>avg pu load</v>
      </c>
      <c r="AA29" s="258" t="str">
        <f t="shared" si="45"/>
        <v>total ft</v>
      </c>
      <c r="AB29" s="258" t="str">
        <f t="shared" si="45"/>
        <v>avg ft</v>
      </c>
      <c r="AC29" s="258" t="str">
        <f t="shared" si="45"/>
        <v>avg m</v>
      </c>
      <c r="AD29" s="258"/>
      <c r="AE29" s="258"/>
      <c r="AF29" s="258" t="str">
        <f t="shared" si="45"/>
        <v>Pin rated [kW]</v>
      </c>
      <c r="AG29" s="258" t="str">
        <f t="shared" si="45"/>
        <v>Pin actual [kW]</v>
      </c>
      <c r="AH29" s="258" t="str">
        <f t="shared" si="45"/>
        <v>PF disp</v>
      </c>
      <c r="AI29" s="258" t="str">
        <f t="shared" si="45"/>
        <v>Qin [kVAR]</v>
      </c>
      <c r="AJ29" s="258" t="str">
        <f t="shared" si="45"/>
        <v>Din [kVAD]</v>
      </c>
      <c r="AK29" s="258" t="str">
        <f t="shared" si="45"/>
        <v>Sin [kVA]</v>
      </c>
      <c r="AL29" s="258"/>
      <c r="AM29" s="258"/>
      <c r="AN29" s="258" t="str">
        <f t="shared" si="45"/>
        <v>Ireal rated [A]</v>
      </c>
      <c r="AO29" s="258" t="str">
        <f t="shared" si="45"/>
        <v>Ireal actual [A]</v>
      </c>
      <c r="AP29" s="258" t="str">
        <f t="shared" si="45"/>
        <v>Ireact [A]</v>
      </c>
      <c r="AQ29" s="258" t="str">
        <f t="shared" si="45"/>
        <v>Iharm [A]</v>
      </c>
      <c r="AR29" s="258" t="str">
        <f t="shared" si="45"/>
        <v>Ifund [A]</v>
      </c>
      <c r="AS29" s="258" t="str">
        <f t="shared" si="45"/>
        <v>Itotal [A]</v>
      </c>
      <c r="AT29" s="258" t="str">
        <f t="shared" si="45"/>
        <v>Ithd [%]</v>
      </c>
      <c r="AU29" s="258"/>
      <c r="AV29" s="258"/>
      <c r="AW29" s="258" t="str">
        <f t="shared" si="45"/>
        <v>X source [uH]</v>
      </c>
      <c r="AX29" s="258" t="str">
        <f t="shared" si="45"/>
        <v>X cable [uH]</v>
      </c>
      <c r="AY29" s="258" t="str">
        <f t="shared" si="45"/>
        <v>x total [uH]</v>
      </c>
      <c r="AZ29" s="258" t="str">
        <f t="shared" si="45"/>
        <v>Isc</v>
      </c>
      <c r="BA29" s="258" t="str">
        <f t="shared" si="45"/>
        <v>Isc / Ifund</v>
      </c>
      <c r="BB29" s="258" t="s">
        <v>1</v>
      </c>
    </row>
    <row r="30" spans="1:54" x14ac:dyDescent="0.3">
      <c r="A30" s="1" t="str">
        <f t="shared" si="0"/>
        <v/>
      </c>
      <c r="B30" s="1">
        <f>Input!B50</f>
        <v>25</v>
      </c>
      <c r="C30" s="1" t="str">
        <f>IF(Input!F50="","",Input!F50)</f>
        <v/>
      </c>
      <c r="D30" s="1" t="str">
        <f>IF(C30="","",IF(Input!G50="","none",Input!G50))</f>
        <v/>
      </c>
      <c r="E30" s="1" t="str">
        <f t="shared" si="16"/>
        <v/>
      </c>
      <c r="F30" s="1" t="str">
        <f t="shared" si="17"/>
        <v/>
      </c>
      <c r="G30" s="1" t="str">
        <f t="shared" si="18"/>
        <v/>
      </c>
      <c r="H30" s="8">
        <f>IF(G30="",0,IF(I30=0,0,Input!H50))</f>
        <v>0</v>
      </c>
      <c r="I30" s="235">
        <f>Input!I50</f>
        <v>1</v>
      </c>
      <c r="J30" s="8">
        <f t="shared" si="1"/>
        <v>0</v>
      </c>
      <c r="K30" s="216">
        <f>IF(I30=0,$P$31,IF(Input!J50="",$P$31,Input!J50))</f>
        <v>32.799999999999997</v>
      </c>
      <c r="M30" s="4" t="s">
        <v>941</v>
      </c>
      <c r="N30" s="453" t="s">
        <v>942</v>
      </c>
      <c r="O30" s="9" t="s">
        <v>775</v>
      </c>
      <c r="P30" s="439">
        <f>Instructions!E195</f>
        <v>0.97</v>
      </c>
      <c r="S30" s="2" t="s">
        <v>287</v>
      </c>
      <c r="T30" s="5"/>
      <c r="U30" s="259" t="str">
        <f>M8</f>
        <v>6 Pulse w/ 5% Impedance</v>
      </c>
      <c r="V30" s="259" t="str">
        <f t="shared" ref="V30:V38" si="46">O6</f>
        <v>none</v>
      </c>
      <c r="W30" s="5">
        <f t="shared" ref="W30:W38" si="47">COUNTIF(G$6:G$55,S30)</f>
        <v>0</v>
      </c>
      <c r="X30" s="1">
        <f t="shared" ref="X30:X38" si="48">SUMIF(G$6:G$55,S30,H$6:H$55)</f>
        <v>0</v>
      </c>
      <c r="Y30" s="1">
        <f t="shared" ref="Y30:Y38" si="49">SUMIF(G$6:G$55,S30,J$6:J$55)</f>
        <v>0</v>
      </c>
      <c r="Z30" s="218">
        <f t="shared" si="26"/>
        <v>0</v>
      </c>
      <c r="AA30" s="1">
        <f t="shared" ref="AA30:AA38" si="50">SUMIF(G$6:G$55,S30,K$6:K$55)</f>
        <v>0</v>
      </c>
      <c r="AB30" s="219">
        <f t="shared" si="19"/>
        <v>0</v>
      </c>
      <c r="AC30" s="7">
        <f t="shared" si="20"/>
        <v>0</v>
      </c>
      <c r="AE30" s="2" t="s">
        <v>287</v>
      </c>
      <c r="AF30" s="250">
        <f>X30*0.746/Instructions!E$194/Instructions!E$195</f>
        <v>0</v>
      </c>
      <c r="AG30" s="250">
        <f>Y30*0.746/Instructions!E$194/Instructions!E$195</f>
        <v>0</v>
      </c>
      <c r="AH30" s="250">
        <v>0.99199999999999999</v>
      </c>
      <c r="AI30" s="250">
        <f t="shared" si="33"/>
        <v>0</v>
      </c>
      <c r="AJ30" s="250">
        <f t="shared" ref="AJ30:AJ38" si="51">SQRT(3)*P$21*AQ30/1000</f>
        <v>0</v>
      </c>
      <c r="AK30" s="250">
        <f t="shared" ref="AK30:AK38" si="52">SQRT(SUMSQ(AG30,AI30,AJ30))</f>
        <v>0</v>
      </c>
      <c r="AL30" s="2"/>
      <c r="AM30" s="2" t="s">
        <v>287</v>
      </c>
      <c r="AN30" s="18">
        <f t="shared" ref="AN30:AN38" si="53">1000*AF30/(SQRT(3)*P$21)</f>
        <v>0</v>
      </c>
      <c r="AO30" s="18">
        <f t="shared" ref="AO30:AO38" si="54">1000*AG30/(SQRT(3)*P$21)</f>
        <v>0</v>
      </c>
      <c r="AP30" s="18">
        <f t="shared" ref="AP30:AP36" si="55">1000*AI30/(SQRT(3)*P$21)</f>
        <v>0</v>
      </c>
      <c r="AQ30" s="280">
        <f>'C01'!H$55</f>
        <v>0</v>
      </c>
      <c r="AR30" s="18">
        <f t="shared" si="23"/>
        <v>0</v>
      </c>
      <c r="AS30" s="18">
        <f t="shared" ref="AS30:AS38" si="56">SQRT(SUMSQ(AQ30,AR30))</f>
        <v>0</v>
      </c>
      <c r="AT30" s="18">
        <f t="shared" ref="AT30:AT38" si="57">IF(AR30=0,0,100*AQ30/AR30)</f>
        <v>0</v>
      </c>
      <c r="AV30" s="2" t="s">
        <v>287</v>
      </c>
      <c r="AW30" s="8">
        <f t="shared" ref="AW30:AW38" si="58">P$23</f>
        <v>19.098593171027439</v>
      </c>
      <c r="AX30" s="8">
        <f>AC30*Instructions!E$197</f>
        <v>0</v>
      </c>
      <c r="AY30" s="8">
        <f t="shared" si="24"/>
        <v>19.098593171027439</v>
      </c>
      <c r="AZ30" s="7">
        <f t="shared" ref="AZ30:AZ36" si="59">IF(AR30=0,1000*P$22,(P$21/(SQRT(3)*2*PI()*P$20*AY30/1000000)))</f>
        <v>38490.017945975058</v>
      </c>
      <c r="BA30" s="7">
        <f t="shared" ref="BA30:BA36" si="60">IF(AR30=0,1000*P$22,AZ30/AR30)</f>
        <v>38490.017945975058</v>
      </c>
      <c r="BB30" s="314">
        <f>'C01'!F1</f>
        <v>5.0025980762113536</v>
      </c>
    </row>
    <row r="31" spans="1:54" x14ac:dyDescent="0.3">
      <c r="A31" s="1" t="str">
        <f t="shared" si="0"/>
        <v/>
      </c>
      <c r="B31" s="1">
        <f>Input!B51</f>
        <v>26</v>
      </c>
      <c r="C31" s="1" t="str">
        <f>IF(Input!F51="","",Input!F51)</f>
        <v/>
      </c>
      <c r="D31" s="1" t="str">
        <f>IF(C31="","",IF(Input!G51="","none",Input!G51))</f>
        <v/>
      </c>
      <c r="E31" s="1" t="str">
        <f t="shared" si="16"/>
        <v/>
      </c>
      <c r="F31" s="1" t="str">
        <f t="shared" si="17"/>
        <v/>
      </c>
      <c r="G31" s="1" t="str">
        <f t="shared" si="18"/>
        <v/>
      </c>
      <c r="H31" s="8">
        <f>IF(G31="",0,IF(I31=0,0,Input!H51))</f>
        <v>0</v>
      </c>
      <c r="I31" s="235">
        <f>Input!I51</f>
        <v>1</v>
      </c>
      <c r="J31" s="8">
        <f t="shared" si="1"/>
        <v>0</v>
      </c>
      <c r="K31" s="216">
        <f>IF(I31=0,$P$31,IF(Input!J51="",$P$31,Input!J51))</f>
        <v>32.799999999999997</v>
      </c>
      <c r="O31" s="9" t="s">
        <v>776</v>
      </c>
      <c r="P31" s="440">
        <f>Instructions!E196</f>
        <v>32.799999999999997</v>
      </c>
      <c r="S31" s="2" t="s">
        <v>288</v>
      </c>
      <c r="T31" s="5"/>
      <c r="U31" s="259" t="str">
        <f>U30</f>
        <v>6 Pulse w/ 5% Impedance</v>
      </c>
      <c r="V31" s="259" t="str">
        <f t="shared" si="46"/>
        <v>1.5% AC Reactor</v>
      </c>
      <c r="W31" s="5">
        <f t="shared" si="47"/>
        <v>0</v>
      </c>
      <c r="X31" s="1">
        <f t="shared" si="48"/>
        <v>0</v>
      </c>
      <c r="Y31" s="1">
        <f t="shared" si="49"/>
        <v>0</v>
      </c>
      <c r="Z31" s="218">
        <f t="shared" si="26"/>
        <v>0</v>
      </c>
      <c r="AA31" s="1">
        <f t="shared" si="50"/>
        <v>0</v>
      </c>
      <c r="AB31" s="219">
        <f t="shared" si="19"/>
        <v>0</v>
      </c>
      <c r="AC31" s="7">
        <f t="shared" si="20"/>
        <v>0</v>
      </c>
      <c r="AE31" s="2" t="s">
        <v>288</v>
      </c>
      <c r="AF31" s="250">
        <f>X31*0.746/Instructions!E$194/Instructions!E$195</f>
        <v>0</v>
      </c>
      <c r="AG31" s="250">
        <f>Y31*0.746/Instructions!E$194/Instructions!E$195</f>
        <v>0</v>
      </c>
      <c r="AH31" s="250">
        <v>0.98599999999999999</v>
      </c>
      <c r="AI31" s="250">
        <f t="shared" si="33"/>
        <v>0</v>
      </c>
      <c r="AJ31" s="250">
        <f t="shared" si="51"/>
        <v>0</v>
      </c>
      <c r="AK31" s="250">
        <f t="shared" si="52"/>
        <v>0</v>
      </c>
      <c r="AL31" s="2"/>
      <c r="AM31" s="2" t="s">
        <v>288</v>
      </c>
      <c r="AN31" s="18">
        <f t="shared" si="53"/>
        <v>0</v>
      </c>
      <c r="AO31" s="18">
        <f t="shared" si="54"/>
        <v>0</v>
      </c>
      <c r="AP31" s="18">
        <f t="shared" si="55"/>
        <v>0</v>
      </c>
      <c r="AQ31" s="280">
        <f>'C02'!H$55</f>
        <v>0</v>
      </c>
      <c r="AR31" s="18">
        <f t="shared" si="23"/>
        <v>0</v>
      </c>
      <c r="AS31" s="18">
        <f t="shared" si="56"/>
        <v>0</v>
      </c>
      <c r="AT31" s="18">
        <f t="shared" si="57"/>
        <v>0</v>
      </c>
      <c r="AV31" s="2" t="s">
        <v>288</v>
      </c>
      <c r="AW31" s="8">
        <f t="shared" si="58"/>
        <v>19.098593171027439</v>
      </c>
      <c r="AX31" s="8">
        <f>AC31*Instructions!E$197</f>
        <v>0</v>
      </c>
      <c r="AY31" s="8">
        <f t="shared" si="24"/>
        <v>19.098593171027439</v>
      </c>
      <c r="AZ31" s="7">
        <f t="shared" si="59"/>
        <v>38490.017945975058</v>
      </c>
      <c r="BA31" s="7">
        <f t="shared" si="60"/>
        <v>38490.017945975058</v>
      </c>
      <c r="BB31" s="314">
        <f>'C02'!F1</f>
        <v>6.5025980762113536</v>
      </c>
    </row>
    <row r="32" spans="1:54" x14ac:dyDescent="0.3">
      <c r="A32" s="1" t="str">
        <f t="shared" si="0"/>
        <v/>
      </c>
      <c r="B32" s="1">
        <f>Input!B52</f>
        <v>27</v>
      </c>
      <c r="C32" s="1" t="str">
        <f>IF(Input!F52="","",Input!F52)</f>
        <v/>
      </c>
      <c r="D32" s="1" t="str">
        <f>IF(C32="","",IF(Input!G52="","none",Input!G52))</f>
        <v/>
      </c>
      <c r="E32" s="1" t="str">
        <f t="shared" si="16"/>
        <v/>
      </c>
      <c r="F32" s="1" t="str">
        <f t="shared" si="17"/>
        <v/>
      </c>
      <c r="G32" s="1" t="str">
        <f t="shared" si="18"/>
        <v/>
      </c>
      <c r="H32" s="8">
        <f>IF(G32="",0,IF(I32=0,0,Input!H52))</f>
        <v>0</v>
      </c>
      <c r="I32" s="235">
        <f>Input!I52</f>
        <v>1</v>
      </c>
      <c r="J32" s="8">
        <f t="shared" si="1"/>
        <v>0</v>
      </c>
      <c r="K32" s="216">
        <f>IF(I32=0,$P$31,IF(Input!J52="",$P$31,Input!J52))</f>
        <v>32.799999999999997</v>
      </c>
      <c r="O32" s="9" t="s">
        <v>777</v>
      </c>
      <c r="P32" s="439">
        <f>Instructions!E197</f>
        <v>0.435</v>
      </c>
      <c r="S32" s="2" t="s">
        <v>289</v>
      </c>
      <c r="T32" s="5"/>
      <c r="U32" s="259" t="str">
        <f t="shared" ref="U32:U38" si="61">U31</f>
        <v>6 Pulse w/ 5% Impedance</v>
      </c>
      <c r="V32" s="259" t="str">
        <f t="shared" si="46"/>
        <v>2.5% AC Reactor</v>
      </c>
      <c r="W32" s="5">
        <f t="shared" si="47"/>
        <v>0</v>
      </c>
      <c r="X32" s="1">
        <f t="shared" si="48"/>
        <v>0</v>
      </c>
      <c r="Y32" s="1">
        <f t="shared" si="49"/>
        <v>0</v>
      </c>
      <c r="Z32" s="218">
        <f t="shared" si="26"/>
        <v>0</v>
      </c>
      <c r="AA32" s="1">
        <f t="shared" si="50"/>
        <v>0</v>
      </c>
      <c r="AB32" s="219">
        <f t="shared" si="19"/>
        <v>0</v>
      </c>
      <c r="AC32" s="7">
        <f t="shared" si="20"/>
        <v>0</v>
      </c>
      <c r="AE32" s="2" t="s">
        <v>289</v>
      </c>
      <c r="AF32" s="250">
        <f>X32*0.746/Instructions!E$194/Instructions!E$195</f>
        <v>0</v>
      </c>
      <c r="AG32" s="250">
        <f>Y32*0.746/Instructions!E$194/Instructions!E$195</f>
        <v>0</v>
      </c>
      <c r="AH32" s="250">
        <v>0.98199999999999998</v>
      </c>
      <c r="AI32" s="250">
        <f t="shared" si="33"/>
        <v>0</v>
      </c>
      <c r="AJ32" s="250">
        <f t="shared" si="51"/>
        <v>0</v>
      </c>
      <c r="AK32" s="250">
        <f t="shared" si="52"/>
        <v>0</v>
      </c>
      <c r="AL32" s="2"/>
      <c r="AM32" s="2" t="s">
        <v>289</v>
      </c>
      <c r="AN32" s="18">
        <f t="shared" si="53"/>
        <v>0</v>
      </c>
      <c r="AO32" s="18">
        <f t="shared" si="54"/>
        <v>0</v>
      </c>
      <c r="AP32" s="18">
        <f t="shared" si="55"/>
        <v>0</v>
      </c>
      <c r="AQ32" s="280">
        <f>'C03'!H$55</f>
        <v>0</v>
      </c>
      <c r="AR32" s="18">
        <f t="shared" si="23"/>
        <v>0</v>
      </c>
      <c r="AS32" s="18">
        <f t="shared" si="56"/>
        <v>0</v>
      </c>
      <c r="AT32" s="18">
        <f t="shared" si="57"/>
        <v>0</v>
      </c>
      <c r="AV32" s="2" t="s">
        <v>289</v>
      </c>
      <c r="AW32" s="8">
        <f t="shared" si="58"/>
        <v>19.098593171027439</v>
      </c>
      <c r="AX32" s="8">
        <f>AC32*Instructions!E$197</f>
        <v>0</v>
      </c>
      <c r="AY32" s="8">
        <f t="shared" si="24"/>
        <v>19.098593171027439</v>
      </c>
      <c r="AZ32" s="7">
        <f t="shared" si="59"/>
        <v>38490.017945975058</v>
      </c>
      <c r="BA32" s="7">
        <f t="shared" si="60"/>
        <v>38490.017945975058</v>
      </c>
      <c r="BB32" s="314">
        <f>'C03'!F1</f>
        <v>7.5025980762113536</v>
      </c>
    </row>
    <row r="33" spans="1:54" x14ac:dyDescent="0.3">
      <c r="A33" s="1" t="str">
        <f t="shared" si="0"/>
        <v/>
      </c>
      <c r="B33" s="1">
        <f>Input!B53</f>
        <v>28</v>
      </c>
      <c r="C33" s="1" t="str">
        <f>IF(Input!F53="","",Input!F53)</f>
        <v/>
      </c>
      <c r="D33" s="1" t="str">
        <f>IF(C33="","",IF(Input!G53="","none",Input!G53))</f>
        <v/>
      </c>
      <c r="E33" s="1" t="str">
        <f t="shared" si="16"/>
        <v/>
      </c>
      <c r="F33" s="1" t="str">
        <f t="shared" si="17"/>
        <v/>
      </c>
      <c r="G33" s="1" t="str">
        <f t="shared" si="18"/>
        <v/>
      </c>
      <c r="H33" s="8">
        <f>IF(G33="",0,IF(I33=0,0,Input!H53))</f>
        <v>0</v>
      </c>
      <c r="I33" s="235">
        <f>Input!I53</f>
        <v>1</v>
      </c>
      <c r="J33" s="8">
        <f t="shared" si="1"/>
        <v>0</v>
      </c>
      <c r="K33" s="216">
        <f>IF(I33=0,$P$31,IF(Input!J53="",$P$31,Input!J53))</f>
        <v>32.799999999999997</v>
      </c>
      <c r="M33" s="4" t="s">
        <v>965</v>
      </c>
      <c r="N33" s="453" t="str">
        <f>Input!F14</f>
        <v>Max Percent of Source</v>
      </c>
      <c r="O33" s="59" t="s">
        <v>1029</v>
      </c>
      <c r="P33" s="503" t="str">
        <f>Instructions!E199</f>
        <v>Y</v>
      </c>
      <c r="S33" s="2" t="s">
        <v>290</v>
      </c>
      <c r="T33" s="5"/>
      <c r="U33" s="259" t="str">
        <f t="shared" si="61"/>
        <v>6 Pulse w/ 5% Impedance</v>
      </c>
      <c r="V33" s="259" t="str">
        <f t="shared" si="46"/>
        <v>3% AC Reactor</v>
      </c>
      <c r="W33" s="5">
        <f t="shared" si="47"/>
        <v>0</v>
      </c>
      <c r="X33" s="1">
        <f t="shared" si="48"/>
        <v>0</v>
      </c>
      <c r="Y33" s="1">
        <f t="shared" si="49"/>
        <v>0</v>
      </c>
      <c r="Z33" s="218">
        <f t="shared" si="26"/>
        <v>0</v>
      </c>
      <c r="AA33" s="1">
        <f t="shared" si="50"/>
        <v>0</v>
      </c>
      <c r="AB33" s="219">
        <f t="shared" si="19"/>
        <v>0</v>
      </c>
      <c r="AC33" s="7">
        <f t="shared" si="20"/>
        <v>0</v>
      </c>
      <c r="AE33" s="2" t="s">
        <v>290</v>
      </c>
      <c r="AF33" s="250">
        <f>X33*0.746/Instructions!E$194/Instructions!E$195</f>
        <v>0</v>
      </c>
      <c r="AG33" s="250">
        <f>Y33*0.746/Instructions!E$194/Instructions!E$195</f>
        <v>0</v>
      </c>
      <c r="AH33" s="250">
        <v>0.98</v>
      </c>
      <c r="AI33" s="250">
        <f t="shared" si="33"/>
        <v>0</v>
      </c>
      <c r="AJ33" s="250">
        <f t="shared" si="51"/>
        <v>0</v>
      </c>
      <c r="AK33" s="250">
        <f t="shared" si="52"/>
        <v>0</v>
      </c>
      <c r="AL33" s="2"/>
      <c r="AM33" s="2" t="s">
        <v>290</v>
      </c>
      <c r="AN33" s="18">
        <f t="shared" si="53"/>
        <v>0</v>
      </c>
      <c r="AO33" s="18">
        <f t="shared" si="54"/>
        <v>0</v>
      </c>
      <c r="AP33" s="18">
        <f t="shared" si="55"/>
        <v>0</v>
      </c>
      <c r="AQ33" s="280">
        <f>'C04'!H$55</f>
        <v>0</v>
      </c>
      <c r="AR33" s="18">
        <f t="shared" si="23"/>
        <v>0</v>
      </c>
      <c r="AS33" s="18">
        <f t="shared" si="56"/>
        <v>0</v>
      </c>
      <c r="AT33" s="18">
        <f t="shared" si="57"/>
        <v>0</v>
      </c>
      <c r="AV33" s="2" t="s">
        <v>290</v>
      </c>
      <c r="AW33" s="8">
        <f t="shared" si="58"/>
        <v>19.098593171027439</v>
      </c>
      <c r="AX33" s="8">
        <f>AC33*Instructions!E$197</f>
        <v>0</v>
      </c>
      <c r="AY33" s="8">
        <f t="shared" si="24"/>
        <v>19.098593171027439</v>
      </c>
      <c r="AZ33" s="7">
        <f t="shared" si="59"/>
        <v>38490.017945975058</v>
      </c>
      <c r="BA33" s="7">
        <f t="shared" si="60"/>
        <v>38490.017945975058</v>
      </c>
      <c r="BB33" s="314">
        <f>'C04'!F1</f>
        <v>8.0025980762113527</v>
      </c>
    </row>
    <row r="34" spans="1:54" x14ac:dyDescent="0.3">
      <c r="A34" s="1" t="str">
        <f t="shared" si="0"/>
        <v/>
      </c>
      <c r="B34" s="1">
        <f>Input!B54</f>
        <v>29</v>
      </c>
      <c r="C34" s="1" t="str">
        <f>IF(Input!F54="","",Input!F54)</f>
        <v/>
      </c>
      <c r="D34" s="1" t="str">
        <f>IF(C34="","",IF(Input!G54="","none",Input!G54))</f>
        <v/>
      </c>
      <c r="E34" s="1" t="str">
        <f t="shared" si="16"/>
        <v/>
      </c>
      <c r="F34" s="1" t="str">
        <f t="shared" si="17"/>
        <v/>
      </c>
      <c r="G34" s="1" t="str">
        <f t="shared" si="18"/>
        <v/>
      </c>
      <c r="H34" s="8">
        <f>IF(G34="",0,IF(I34=0,0,Input!H54))</f>
        <v>0</v>
      </c>
      <c r="I34" s="235">
        <f>Input!I54</f>
        <v>1</v>
      </c>
      <c r="J34" s="8">
        <f t="shared" si="1"/>
        <v>0</v>
      </c>
      <c r="K34" s="216">
        <f>IF(I34=0,$P$31,IF(Input!J54="",$P$31,Input!J54))</f>
        <v>32.799999999999997</v>
      </c>
      <c r="M34" t="s">
        <v>1081</v>
      </c>
      <c r="O34" s="9"/>
      <c r="P34" s="222"/>
      <c r="S34" s="2" t="s">
        <v>291</v>
      </c>
      <c r="T34" s="5"/>
      <c r="U34" s="259" t="str">
        <f t="shared" si="61"/>
        <v>6 Pulse w/ 5% Impedance</v>
      </c>
      <c r="V34" s="259" t="str">
        <f t="shared" si="46"/>
        <v>5% AC Reactor</v>
      </c>
      <c r="W34" s="5">
        <f t="shared" si="47"/>
        <v>0</v>
      </c>
      <c r="X34" s="1">
        <f t="shared" si="48"/>
        <v>0</v>
      </c>
      <c r="Y34" s="1">
        <f t="shared" si="49"/>
        <v>0</v>
      </c>
      <c r="Z34" s="218">
        <f t="shared" si="26"/>
        <v>0</v>
      </c>
      <c r="AA34" s="1">
        <f t="shared" si="50"/>
        <v>0</v>
      </c>
      <c r="AB34" s="219">
        <f t="shared" si="19"/>
        <v>0</v>
      </c>
      <c r="AC34" s="7">
        <f t="shared" si="20"/>
        <v>0</v>
      </c>
      <c r="AE34" s="2" t="s">
        <v>291</v>
      </c>
      <c r="AF34" s="250">
        <f>X34*0.746/Instructions!E$194/Instructions!E$195</f>
        <v>0</v>
      </c>
      <c r="AG34" s="250">
        <f>Y34*0.746/Instructions!E$194/Instructions!E$195</f>
        <v>0</v>
      </c>
      <c r="AH34" s="250">
        <v>0.97199999999999998</v>
      </c>
      <c r="AI34" s="250">
        <f t="shared" si="33"/>
        <v>0</v>
      </c>
      <c r="AJ34" s="250">
        <f t="shared" si="51"/>
        <v>0</v>
      </c>
      <c r="AK34" s="250">
        <f t="shared" si="52"/>
        <v>0</v>
      </c>
      <c r="AL34" s="2"/>
      <c r="AM34" s="2" t="s">
        <v>291</v>
      </c>
      <c r="AN34" s="18">
        <f t="shared" si="53"/>
        <v>0</v>
      </c>
      <c r="AO34" s="18">
        <f t="shared" si="54"/>
        <v>0</v>
      </c>
      <c r="AP34" s="18">
        <f t="shared" si="55"/>
        <v>0</v>
      </c>
      <c r="AQ34" s="280">
        <f>'C05'!H$55</f>
        <v>0</v>
      </c>
      <c r="AR34" s="18">
        <f t="shared" si="23"/>
        <v>0</v>
      </c>
      <c r="AS34" s="18">
        <f t="shared" si="56"/>
        <v>0</v>
      </c>
      <c r="AT34" s="18">
        <f t="shared" si="57"/>
        <v>0</v>
      </c>
      <c r="AV34" s="2" t="s">
        <v>291</v>
      </c>
      <c r="AW34" s="8">
        <f t="shared" si="58"/>
        <v>19.098593171027439</v>
      </c>
      <c r="AX34" s="8">
        <f>AC34*Instructions!E$197</f>
        <v>0</v>
      </c>
      <c r="AY34" s="8">
        <f t="shared" si="24"/>
        <v>19.098593171027439</v>
      </c>
      <c r="AZ34" s="7">
        <f t="shared" si="59"/>
        <v>38490.017945975058</v>
      </c>
      <c r="BA34" s="7">
        <f t="shared" si="60"/>
        <v>38490.017945975058</v>
      </c>
      <c r="BB34" s="314">
        <f>'C05'!F1</f>
        <v>10.002598076211353</v>
      </c>
    </row>
    <row r="35" spans="1:54" x14ac:dyDescent="0.3">
      <c r="A35" s="1" t="str">
        <f t="shared" si="0"/>
        <v/>
      </c>
      <c r="B35" s="1">
        <f>Input!B55</f>
        <v>30</v>
      </c>
      <c r="C35" s="1" t="str">
        <f>IF(Input!F55="","",Input!F55)</f>
        <v/>
      </c>
      <c r="D35" s="1" t="str">
        <f>IF(C35="","",IF(Input!G55="","none",Input!G55))</f>
        <v/>
      </c>
      <c r="E35" s="1" t="str">
        <f t="shared" si="16"/>
        <v/>
      </c>
      <c r="F35" s="1" t="str">
        <f t="shared" si="17"/>
        <v/>
      </c>
      <c r="G35" s="1" t="str">
        <f t="shared" si="18"/>
        <v/>
      </c>
      <c r="H35" s="8">
        <f>IF(G35="",0,IF(I35=0,0,Input!H55))</f>
        <v>0</v>
      </c>
      <c r="I35" s="235">
        <f>Input!I55</f>
        <v>1</v>
      </c>
      <c r="J35" s="8">
        <f t="shared" si="1"/>
        <v>0</v>
      </c>
      <c r="K35" s="216">
        <f>IF(I35=0,$P$31,IF(Input!J55="",$P$31,Input!J55))</f>
        <v>32.799999999999997</v>
      </c>
      <c r="M35" t="s">
        <v>1082</v>
      </c>
      <c r="O35" s="441" t="s">
        <v>665</v>
      </c>
      <c r="P35" s="511">
        <f>Instructions!E200</f>
        <v>-35</v>
      </c>
      <c r="S35" t="s">
        <v>292</v>
      </c>
      <c r="U35" s="259" t="str">
        <f t="shared" si="61"/>
        <v>6 Pulse w/ 5% Impedance</v>
      </c>
      <c r="V35" s="259" t="str">
        <f t="shared" si="46"/>
        <v>7% AC Reactor</v>
      </c>
      <c r="W35" s="1">
        <f t="shared" si="47"/>
        <v>0</v>
      </c>
      <c r="X35" s="1">
        <f t="shared" si="48"/>
        <v>0</v>
      </c>
      <c r="Y35" s="1">
        <f t="shared" si="49"/>
        <v>0</v>
      </c>
      <c r="Z35" s="218">
        <f t="shared" si="26"/>
        <v>0</v>
      </c>
      <c r="AA35" s="1">
        <f t="shared" si="50"/>
        <v>0</v>
      </c>
      <c r="AB35" s="219">
        <f t="shared" si="19"/>
        <v>0</v>
      </c>
      <c r="AC35" s="7">
        <f t="shared" si="20"/>
        <v>0</v>
      </c>
      <c r="AE35" s="2" t="s">
        <v>292</v>
      </c>
      <c r="AF35" s="250">
        <f>X35*0.746/Instructions!E$194/Instructions!E$195</f>
        <v>0</v>
      </c>
      <c r="AG35" s="250">
        <f>Y35*0.746/Instructions!E$194/Instructions!E$195</f>
        <v>0</v>
      </c>
      <c r="AH35" s="250">
        <v>0.96399999999999997</v>
      </c>
      <c r="AI35" s="250">
        <f t="shared" si="33"/>
        <v>0</v>
      </c>
      <c r="AJ35" s="250">
        <f t="shared" si="51"/>
        <v>0</v>
      </c>
      <c r="AK35" s="250">
        <f t="shared" si="52"/>
        <v>0</v>
      </c>
      <c r="AL35" s="2"/>
      <c r="AM35" s="2" t="s">
        <v>292</v>
      </c>
      <c r="AN35" s="18">
        <f t="shared" si="53"/>
        <v>0</v>
      </c>
      <c r="AO35" s="18">
        <f t="shared" si="54"/>
        <v>0</v>
      </c>
      <c r="AP35" s="18">
        <f t="shared" si="55"/>
        <v>0</v>
      </c>
      <c r="AQ35" s="280">
        <f>'C06'!H$55</f>
        <v>0</v>
      </c>
      <c r="AR35" s="18">
        <f t="shared" si="23"/>
        <v>0</v>
      </c>
      <c r="AS35" s="18">
        <f t="shared" si="56"/>
        <v>0</v>
      </c>
      <c r="AT35" s="18">
        <f t="shared" si="57"/>
        <v>0</v>
      </c>
      <c r="AV35" t="s">
        <v>292</v>
      </c>
      <c r="AW35" s="8">
        <f t="shared" si="58"/>
        <v>19.098593171027439</v>
      </c>
      <c r="AX35" s="8">
        <f>AC35*Instructions!E$197</f>
        <v>0</v>
      </c>
      <c r="AY35" s="8">
        <f t="shared" si="24"/>
        <v>19.098593171027439</v>
      </c>
      <c r="AZ35" s="7">
        <f t="shared" si="59"/>
        <v>38490.017945975058</v>
      </c>
      <c r="BA35" s="7">
        <f t="shared" si="60"/>
        <v>38490.017945975058</v>
      </c>
      <c r="BB35" s="314">
        <f>'C06'!F1</f>
        <v>12.002598076211353</v>
      </c>
    </row>
    <row r="36" spans="1:54" x14ac:dyDescent="0.3">
      <c r="A36" s="1" t="str">
        <f t="shared" si="0"/>
        <v/>
      </c>
      <c r="B36" s="1">
        <f>Input!B56</f>
        <v>31</v>
      </c>
      <c r="C36" s="1" t="str">
        <f>IF(Input!F56="","",Input!F56)</f>
        <v/>
      </c>
      <c r="D36" s="1" t="str">
        <f>IF(C36="","",IF(Input!G56="","none",Input!G56))</f>
        <v/>
      </c>
      <c r="E36" s="1" t="str">
        <f t="shared" si="16"/>
        <v/>
      </c>
      <c r="F36" s="1" t="str">
        <f t="shared" si="17"/>
        <v/>
      </c>
      <c r="G36" s="1" t="str">
        <f t="shared" si="18"/>
        <v/>
      </c>
      <c r="H36" s="8">
        <f>IF(G36="",0,IF(I36=0,0,Input!H56))</f>
        <v>0</v>
      </c>
      <c r="I36" s="235">
        <f>Input!I56</f>
        <v>1</v>
      </c>
      <c r="J36" s="8">
        <f t="shared" si="1"/>
        <v>0</v>
      </c>
      <c r="K36" s="216">
        <f>IF(I36=0,$P$31,IF(Input!J56="",$P$31,Input!J56))</f>
        <v>32.799999999999997</v>
      </c>
      <c r="O36" s="441" t="s">
        <v>666</v>
      </c>
      <c r="P36" s="511">
        <f>Instructions!E201</f>
        <v>-40</v>
      </c>
      <c r="S36" t="s">
        <v>293</v>
      </c>
      <c r="U36" s="259" t="str">
        <f t="shared" si="61"/>
        <v>6 Pulse w/ 5% Impedance</v>
      </c>
      <c r="V36" s="259" t="str">
        <f t="shared" si="46"/>
        <v>10% AC Reactor</v>
      </c>
      <c r="W36" s="1">
        <f t="shared" si="47"/>
        <v>0</v>
      </c>
      <c r="X36" s="1">
        <f t="shared" si="48"/>
        <v>0</v>
      </c>
      <c r="Y36" s="1">
        <f t="shared" si="49"/>
        <v>0</v>
      </c>
      <c r="Z36" s="218">
        <f t="shared" si="26"/>
        <v>0</v>
      </c>
      <c r="AA36" s="1">
        <f t="shared" si="50"/>
        <v>0</v>
      </c>
      <c r="AB36" s="219">
        <f t="shared" si="19"/>
        <v>0</v>
      </c>
      <c r="AC36" s="7">
        <f t="shared" si="20"/>
        <v>0</v>
      </c>
      <c r="AE36" s="2" t="s">
        <v>293</v>
      </c>
      <c r="AF36" s="250">
        <f>X36*0.746/Instructions!E$194/Instructions!E$195</f>
        <v>0</v>
      </c>
      <c r="AG36" s="250">
        <f>Y36*0.746/Instructions!E$194/Instructions!E$195</f>
        <v>0</v>
      </c>
      <c r="AH36" s="250">
        <v>0.95199999999999996</v>
      </c>
      <c r="AI36" s="250">
        <f t="shared" si="33"/>
        <v>0</v>
      </c>
      <c r="AJ36" s="250">
        <f t="shared" si="51"/>
        <v>0</v>
      </c>
      <c r="AK36" s="250">
        <f t="shared" si="52"/>
        <v>0</v>
      </c>
      <c r="AL36" s="2"/>
      <c r="AM36" s="2" t="s">
        <v>293</v>
      </c>
      <c r="AN36" s="18">
        <f t="shared" si="53"/>
        <v>0</v>
      </c>
      <c r="AO36" s="18">
        <f t="shared" si="54"/>
        <v>0</v>
      </c>
      <c r="AP36" s="18">
        <f t="shared" si="55"/>
        <v>0</v>
      </c>
      <c r="AQ36" s="280">
        <f>'C07'!H$55</f>
        <v>0</v>
      </c>
      <c r="AR36" s="18">
        <f t="shared" si="23"/>
        <v>0</v>
      </c>
      <c r="AS36" s="18">
        <f t="shared" si="56"/>
        <v>0</v>
      </c>
      <c r="AT36" s="18">
        <f t="shared" si="57"/>
        <v>0</v>
      </c>
      <c r="AV36" t="s">
        <v>293</v>
      </c>
      <c r="AW36" s="8">
        <f t="shared" si="58"/>
        <v>19.098593171027439</v>
      </c>
      <c r="AX36" s="8">
        <f>AC36*Instructions!E$197</f>
        <v>0</v>
      </c>
      <c r="AY36" s="8">
        <f t="shared" si="24"/>
        <v>19.098593171027439</v>
      </c>
      <c r="AZ36" s="7">
        <f t="shared" si="59"/>
        <v>38490.017945975058</v>
      </c>
      <c r="BA36" s="7">
        <f t="shared" si="60"/>
        <v>38490.017945975058</v>
      </c>
      <c r="BB36" s="314">
        <f>'C07'!F1</f>
        <v>15.002598076211353</v>
      </c>
    </row>
    <row r="37" spans="1:54" x14ac:dyDescent="0.3">
      <c r="A37" s="1" t="str">
        <f t="shared" si="0"/>
        <v/>
      </c>
      <c r="B37" s="1">
        <f>Input!B57</f>
        <v>32</v>
      </c>
      <c r="C37" s="1" t="str">
        <f>IF(Input!F57="","",Input!F57)</f>
        <v/>
      </c>
      <c r="D37" s="1" t="str">
        <f>IF(C37="","",IF(Input!G57="","none",Input!G57))</f>
        <v/>
      </c>
      <c r="E37" s="1" t="str">
        <f t="shared" si="16"/>
        <v/>
      </c>
      <c r="F37" s="1" t="str">
        <f t="shared" si="17"/>
        <v/>
      </c>
      <c r="G37" s="1" t="str">
        <f t="shared" si="18"/>
        <v/>
      </c>
      <c r="H37" s="8">
        <f>IF(G37="",0,IF(I37=0,0,Input!H57))</f>
        <v>0</v>
      </c>
      <c r="I37" s="235">
        <f>Input!I57</f>
        <v>1</v>
      </c>
      <c r="J37" s="8">
        <f t="shared" si="1"/>
        <v>0</v>
      </c>
      <c r="K37" s="216">
        <f>IF(I37=0,$P$31,IF(Input!J57="",$P$31,Input!J57))</f>
        <v>32.799999999999997</v>
      </c>
      <c r="O37" s="9"/>
      <c r="P37" s="222"/>
      <c r="S37" t="s">
        <v>294</v>
      </c>
      <c r="U37" s="259" t="str">
        <f t="shared" si="61"/>
        <v>6 Pulse w/ 5% Impedance</v>
      </c>
      <c r="V37" s="259" t="str">
        <f t="shared" si="46"/>
        <v>7% THDi Passive Filter</v>
      </c>
      <c r="W37" s="1">
        <f t="shared" si="47"/>
        <v>0</v>
      </c>
      <c r="X37" s="1">
        <f t="shared" si="48"/>
        <v>0</v>
      </c>
      <c r="Y37" s="1">
        <f t="shared" si="49"/>
        <v>0</v>
      </c>
      <c r="Z37" s="218">
        <f t="shared" si="26"/>
        <v>0</v>
      </c>
      <c r="AA37" s="1">
        <f t="shared" si="50"/>
        <v>0</v>
      </c>
      <c r="AB37" s="219">
        <f t="shared" si="19"/>
        <v>0</v>
      </c>
      <c r="AC37" s="7">
        <f t="shared" si="20"/>
        <v>0</v>
      </c>
      <c r="AE37" s="2" t="s">
        <v>294</v>
      </c>
      <c r="AF37" s="250">
        <f>X37*0.746/Instructions!E$194/Instructions!E$195</f>
        <v>0</v>
      </c>
      <c r="AG37" s="250">
        <f>Y37*0.746/Instructions!E$194/Instructions!E$195</f>
        <v>0</v>
      </c>
      <c r="AH37" s="250">
        <v>0.999</v>
      </c>
      <c r="AI37" s="250">
        <f>SQRT(3)*P$21*AP37/1000</f>
        <v>0</v>
      </c>
      <c r="AJ37" s="250">
        <f t="shared" si="51"/>
        <v>0</v>
      </c>
      <c r="AK37" s="250">
        <f t="shared" si="52"/>
        <v>0</v>
      </c>
      <c r="AL37" s="2"/>
      <c r="AM37" s="2" t="s">
        <v>294</v>
      </c>
      <c r="AN37" s="18">
        <f t="shared" si="53"/>
        <v>0</v>
      </c>
      <c r="AO37" s="18">
        <f t="shared" si="54"/>
        <v>0</v>
      </c>
      <c r="AP37" s="280">
        <f>'C08'!J12</f>
        <v>0</v>
      </c>
      <c r="AQ37" s="280">
        <f>'C08'!H$55</f>
        <v>0</v>
      </c>
      <c r="AR37" s="18">
        <f>SQRT(SUMSQ(AO37,AP37))</f>
        <v>0</v>
      </c>
      <c r="AS37" s="18">
        <f t="shared" si="56"/>
        <v>0</v>
      </c>
      <c r="AT37" s="18">
        <f t="shared" si="57"/>
        <v>0</v>
      </c>
      <c r="AV37" t="s">
        <v>294</v>
      </c>
      <c r="AW37" s="8">
        <f t="shared" si="58"/>
        <v>19.098593171027439</v>
      </c>
      <c r="AX37" s="8">
        <f>AC37*Instructions!E$197</f>
        <v>0</v>
      </c>
      <c r="AY37" s="8">
        <f t="shared" si="24"/>
        <v>19.098593171027439</v>
      </c>
      <c r="AZ37" s="7">
        <f>IF(AR37=0,1000*P$22,(P$21/(SQRT(3)*2*PI()*P$20*AY37/1000000)))</f>
        <v>38490.017945975058</v>
      </c>
      <c r="BA37" s="7">
        <f>IF(AR37=0,1000*P$22,AZ37/AR37)</f>
        <v>38490.017945975058</v>
      </c>
      <c r="BB37" s="314">
        <f>'C08'!F1</f>
        <v>5.0025980762113536</v>
      </c>
    </row>
    <row r="38" spans="1:54" x14ac:dyDescent="0.3">
      <c r="A38" s="1" t="str">
        <f t="shared" ref="A38:A55" si="62">IF(G38="","",IF(VLOOKUP(G38,S$5:T$88,2)=0,"",VLOOKUP(G38,S$5:T$88,2)))</f>
        <v/>
      </c>
      <c r="B38" s="1">
        <f>Input!B58</f>
        <v>33</v>
      </c>
      <c r="C38" s="1" t="str">
        <f>IF(Input!F58="","",Input!F58)</f>
        <v/>
      </c>
      <c r="D38" s="1" t="str">
        <f>IF(C38="","",IF(Input!G58="","none",Input!G58))</f>
        <v/>
      </c>
      <c r="E38" s="1" t="str">
        <f t="shared" si="16"/>
        <v/>
      </c>
      <c r="F38" s="1" t="str">
        <f t="shared" si="17"/>
        <v/>
      </c>
      <c r="G38" s="1" t="str">
        <f t="shared" si="18"/>
        <v/>
      </c>
      <c r="H38" s="8">
        <f>IF(G38="",0,IF(I38=0,0,Input!H58))</f>
        <v>0</v>
      </c>
      <c r="I38" s="235">
        <f>Input!I58</f>
        <v>1</v>
      </c>
      <c r="J38" s="8">
        <f t="shared" ref="J38:J55" si="63">H38*I38</f>
        <v>0</v>
      </c>
      <c r="K38" s="216">
        <f>IF(I38=0,$P$31,IF(Input!J58="",$P$31,Input!J58))</f>
        <v>32.799999999999997</v>
      </c>
      <c r="S38" t="s">
        <v>295</v>
      </c>
      <c r="U38" s="259" t="str">
        <f t="shared" si="61"/>
        <v>6 Pulse w/ 5% Impedance</v>
      </c>
      <c r="V38" s="259" t="str">
        <f t="shared" si="46"/>
        <v>5% THDi Passive Filter</v>
      </c>
      <c r="W38" s="1">
        <f t="shared" si="47"/>
        <v>0</v>
      </c>
      <c r="X38" s="1">
        <f t="shared" si="48"/>
        <v>0</v>
      </c>
      <c r="Y38" s="1">
        <f t="shared" si="49"/>
        <v>0</v>
      </c>
      <c r="Z38" s="218">
        <f t="shared" si="26"/>
        <v>0</v>
      </c>
      <c r="AA38" s="1">
        <f t="shared" si="50"/>
        <v>0</v>
      </c>
      <c r="AB38" s="219">
        <f t="shared" si="19"/>
        <v>0</v>
      </c>
      <c r="AC38" s="7">
        <f t="shared" si="20"/>
        <v>0</v>
      </c>
      <c r="AE38" s="2" t="s">
        <v>295</v>
      </c>
      <c r="AF38" s="250">
        <f>X38*0.746/Instructions!E$194/Instructions!E$195</f>
        <v>0</v>
      </c>
      <c r="AG38" s="250">
        <f>Y38*0.746/Instructions!E$194/Instructions!E$195</f>
        <v>0</v>
      </c>
      <c r="AH38" s="250">
        <v>0.99299999999999999</v>
      </c>
      <c r="AI38" s="250">
        <f>SQRT(3)*P$21*AP38/1000</f>
        <v>0</v>
      </c>
      <c r="AJ38" s="250">
        <f t="shared" si="51"/>
        <v>0</v>
      </c>
      <c r="AK38" s="250">
        <f t="shared" si="52"/>
        <v>0</v>
      </c>
      <c r="AL38" s="2"/>
      <c r="AM38" s="2" t="s">
        <v>295</v>
      </c>
      <c r="AN38" s="18">
        <f t="shared" si="53"/>
        <v>0</v>
      </c>
      <c r="AO38" s="18">
        <f t="shared" si="54"/>
        <v>0</v>
      </c>
      <c r="AP38" s="280">
        <f>'C09'!J12</f>
        <v>0</v>
      </c>
      <c r="AQ38" s="280">
        <f>'C09'!H$55</f>
        <v>0</v>
      </c>
      <c r="AR38" s="18">
        <f>SQRT(SUMSQ(AO38,AP38))</f>
        <v>0</v>
      </c>
      <c r="AS38" s="18">
        <f t="shared" si="56"/>
        <v>0</v>
      </c>
      <c r="AT38" s="18">
        <f t="shared" si="57"/>
        <v>0</v>
      </c>
      <c r="AV38" t="s">
        <v>295</v>
      </c>
      <c r="AW38" s="8">
        <f t="shared" si="58"/>
        <v>19.098593171027439</v>
      </c>
      <c r="AX38" s="8">
        <f>AC38*Instructions!E$197</f>
        <v>0</v>
      </c>
      <c r="AY38" s="8">
        <f t="shared" si="24"/>
        <v>19.098593171027439</v>
      </c>
      <c r="AZ38" s="7">
        <f>IF(AR38=0,1000*P$22,(P$21/(SQRT(3)*2*PI()*P$20*AY38/1000000)))</f>
        <v>38490.017945975058</v>
      </c>
      <c r="BA38" s="7">
        <f>IF(AR38=0,1000*P$22,AZ38/AR38)</f>
        <v>38490.017945975058</v>
      </c>
      <c r="BB38" s="314">
        <f>'C09'!F1</f>
        <v>5.0025980762113536</v>
      </c>
    </row>
    <row r="39" spans="1:54" x14ac:dyDescent="0.3">
      <c r="A39" s="1" t="str">
        <f t="shared" si="62"/>
        <v/>
      </c>
      <c r="B39" s="1">
        <f>Input!B59</f>
        <v>34</v>
      </c>
      <c r="C39" s="1" t="str">
        <f>IF(Input!F59="","",Input!F59)</f>
        <v/>
      </c>
      <c r="D39" s="1" t="str">
        <f>IF(C39="","",IF(Input!G59="","none",Input!G59))</f>
        <v/>
      </c>
      <c r="E39" s="1" t="str">
        <f t="shared" si="16"/>
        <v/>
      </c>
      <c r="F39" s="1" t="str">
        <f t="shared" si="17"/>
        <v/>
      </c>
      <c r="G39" s="1" t="str">
        <f t="shared" si="18"/>
        <v/>
      </c>
      <c r="H39" s="8">
        <f>IF(G39="",0,IF(I39=0,0,Input!H59))</f>
        <v>0</v>
      </c>
      <c r="I39" s="235">
        <f>Input!I59</f>
        <v>1</v>
      </c>
      <c r="J39" s="8">
        <f t="shared" si="63"/>
        <v>0</v>
      </c>
      <c r="K39" s="216">
        <f>IF(I39=0,$P$31,IF(Input!J59="",$P$31,Input!J59))</f>
        <v>32.799999999999997</v>
      </c>
      <c r="U39" s="85"/>
      <c r="V39" s="85"/>
      <c r="Z39" s="218"/>
      <c r="AC39" s="7"/>
      <c r="AE39" s="2"/>
      <c r="AF39" s="250"/>
      <c r="AG39" s="250"/>
      <c r="AH39" s="250"/>
      <c r="AI39" s="250"/>
      <c r="AJ39" s="250"/>
      <c r="AK39" s="250"/>
      <c r="AL39" s="2"/>
      <c r="AM39" s="2"/>
      <c r="AN39" s="18"/>
      <c r="AO39" s="18"/>
      <c r="AP39" s="18"/>
      <c r="AQ39" s="18"/>
      <c r="AR39" s="18"/>
      <c r="AS39" s="18"/>
      <c r="AT39" s="18"/>
      <c r="AW39" s="8"/>
      <c r="AX39" s="8"/>
      <c r="AY39" s="8"/>
      <c r="AZ39" s="7"/>
      <c r="BA39" s="7"/>
    </row>
    <row r="40" spans="1:54" x14ac:dyDescent="0.3">
      <c r="A40" s="1" t="str">
        <f t="shared" si="62"/>
        <v/>
      </c>
      <c r="B40" s="1">
        <f>Input!B60</f>
        <v>35</v>
      </c>
      <c r="C40" s="1" t="str">
        <f>IF(Input!F60="","",Input!F60)</f>
        <v/>
      </c>
      <c r="D40" s="1" t="str">
        <f>IF(C40="","",IF(Input!G60="","none",Input!G60))</f>
        <v/>
      </c>
      <c r="E40" s="1" t="str">
        <f t="shared" si="16"/>
        <v/>
      </c>
      <c r="F40" s="1" t="str">
        <f t="shared" si="17"/>
        <v/>
      </c>
      <c r="G40" s="1" t="str">
        <f t="shared" si="18"/>
        <v/>
      </c>
      <c r="H40" s="8">
        <f>IF(G40="",0,IF(I40=0,0,Input!H60))</f>
        <v>0</v>
      </c>
      <c r="I40" s="235">
        <f>Input!I60</f>
        <v>1</v>
      </c>
      <c r="J40" s="8">
        <f t="shared" si="63"/>
        <v>0</v>
      </c>
      <c r="K40" s="216">
        <f>IF(I40=0,$P$31,IF(Input!J60="",$P$31,Input!J60))</f>
        <v>32.799999999999997</v>
      </c>
      <c r="U40" s="85"/>
      <c r="V40" s="85"/>
      <c r="Z40" s="218"/>
      <c r="AC40" s="7"/>
      <c r="AE40" s="2"/>
      <c r="AF40" s="250"/>
      <c r="AG40" s="250"/>
      <c r="AH40" s="250"/>
      <c r="AI40" s="250"/>
      <c r="AJ40" s="250"/>
      <c r="AK40" s="250"/>
      <c r="AL40" s="2"/>
      <c r="AM40" s="2"/>
      <c r="AN40" s="18"/>
      <c r="AO40" s="18"/>
      <c r="AP40" s="18"/>
      <c r="AQ40" s="18"/>
      <c r="AR40" s="18"/>
      <c r="AS40" s="18"/>
      <c r="AT40" s="18"/>
      <c r="AW40" s="8"/>
      <c r="AX40" s="8"/>
      <c r="AY40" s="8"/>
      <c r="AZ40" s="7"/>
      <c r="BA40" s="7"/>
    </row>
    <row r="41" spans="1:54" x14ac:dyDescent="0.3">
      <c r="A41" s="1" t="str">
        <f t="shared" si="62"/>
        <v/>
      </c>
      <c r="B41" s="1">
        <f>Input!B61</f>
        <v>36</v>
      </c>
      <c r="C41" s="1" t="str">
        <f>IF(Input!F61="","",Input!F61)</f>
        <v/>
      </c>
      <c r="D41" s="1" t="str">
        <f>IF(C41="","",IF(Input!G61="","none",Input!G61))</f>
        <v/>
      </c>
      <c r="E41" s="1" t="str">
        <f t="shared" si="16"/>
        <v/>
      </c>
      <c r="F41" s="1" t="str">
        <f t="shared" si="17"/>
        <v/>
      </c>
      <c r="G41" s="1" t="str">
        <f t="shared" si="18"/>
        <v/>
      </c>
      <c r="H41" s="8">
        <f>IF(G41="",0,IF(I41=0,0,Input!H61))</f>
        <v>0</v>
      </c>
      <c r="I41" s="235">
        <f>Input!I61</f>
        <v>1</v>
      </c>
      <c r="J41" s="8">
        <f t="shared" si="63"/>
        <v>0</v>
      </c>
      <c r="K41" s="216">
        <f>IF(I41=0,$P$31,IF(Input!J61="",$P$31,Input!J61))</f>
        <v>32.799999999999997</v>
      </c>
      <c r="O41" s="4" t="s">
        <v>943</v>
      </c>
      <c r="S41" s="257" t="s">
        <v>356</v>
      </c>
      <c r="T41" s="261"/>
      <c r="U41" s="258" t="str">
        <f>U29</f>
        <v>Drive</v>
      </c>
      <c r="V41" s="258" t="str">
        <f t="shared" ref="V41:BA41" si="64">V29</f>
        <v>Filter</v>
      </c>
      <c r="W41" s="258" t="str">
        <f t="shared" si="64"/>
        <v>Count</v>
      </c>
      <c r="X41" s="258" t="str">
        <f t="shared" si="64"/>
        <v>total rated HP</v>
      </c>
      <c r="Y41" s="258" t="str">
        <f t="shared" si="64"/>
        <v>total actual HP</v>
      </c>
      <c r="Z41" s="258" t="str">
        <f t="shared" si="64"/>
        <v>avg pu load</v>
      </c>
      <c r="AA41" s="258" t="str">
        <f t="shared" si="64"/>
        <v>total ft</v>
      </c>
      <c r="AB41" s="258" t="str">
        <f t="shared" si="64"/>
        <v>avg ft</v>
      </c>
      <c r="AC41" s="258" t="str">
        <f t="shared" si="64"/>
        <v>avg m</v>
      </c>
      <c r="AD41" s="258"/>
      <c r="AE41" s="258"/>
      <c r="AF41" s="258" t="str">
        <f t="shared" si="64"/>
        <v>Pin rated [kW]</v>
      </c>
      <c r="AG41" s="258" t="str">
        <f t="shared" si="64"/>
        <v>Pin actual [kW]</v>
      </c>
      <c r="AH41" s="258" t="str">
        <f t="shared" si="64"/>
        <v>PF disp</v>
      </c>
      <c r="AI41" s="258" t="str">
        <f t="shared" si="64"/>
        <v>Qin [kVAR]</v>
      </c>
      <c r="AJ41" s="258" t="str">
        <f t="shared" si="64"/>
        <v>Din [kVAD]</v>
      </c>
      <c r="AK41" s="258" t="str">
        <f t="shared" si="64"/>
        <v>Sin [kVA]</v>
      </c>
      <c r="AL41" s="258"/>
      <c r="AM41" s="258"/>
      <c r="AN41" s="258" t="str">
        <f t="shared" si="64"/>
        <v>Ireal rated [A]</v>
      </c>
      <c r="AO41" s="258" t="str">
        <f t="shared" si="64"/>
        <v>Ireal actual [A]</v>
      </c>
      <c r="AP41" s="258" t="str">
        <f t="shared" si="64"/>
        <v>Ireact [A]</v>
      </c>
      <c r="AQ41" s="258" t="str">
        <f t="shared" si="64"/>
        <v>Iharm [A]</v>
      </c>
      <c r="AR41" s="258" t="str">
        <f t="shared" si="64"/>
        <v>Ifund [A]</v>
      </c>
      <c r="AS41" s="258" t="str">
        <f t="shared" si="64"/>
        <v>Itotal [A]</v>
      </c>
      <c r="AT41" s="258" t="str">
        <f t="shared" si="64"/>
        <v>Ithd [%]</v>
      </c>
      <c r="AU41" s="258"/>
      <c r="AV41" s="258"/>
      <c r="AW41" s="258" t="str">
        <f t="shared" si="64"/>
        <v>X source [uH]</v>
      </c>
      <c r="AX41" s="258" t="str">
        <f t="shared" si="64"/>
        <v>X cable [uH]</v>
      </c>
      <c r="AY41" s="258" t="str">
        <f t="shared" si="64"/>
        <v>x total [uH]</v>
      </c>
      <c r="AZ41" s="258" t="str">
        <f t="shared" si="64"/>
        <v>Isc</v>
      </c>
      <c r="BA41" s="258" t="str">
        <f t="shared" si="64"/>
        <v>Isc / Ifund</v>
      </c>
      <c r="BB41" s="258" t="s">
        <v>1</v>
      </c>
    </row>
    <row r="42" spans="1:54" x14ac:dyDescent="0.3">
      <c r="A42" s="1" t="str">
        <f t="shared" si="62"/>
        <v/>
      </c>
      <c r="B42" s="1">
        <f>Input!B62</f>
        <v>37</v>
      </c>
      <c r="C42" s="1" t="str">
        <f>IF(Input!F62="","",Input!F62)</f>
        <v/>
      </c>
      <c r="D42" s="1" t="str">
        <f>IF(C42="","",IF(Input!G62="","none",Input!G62))</f>
        <v/>
      </c>
      <c r="E42" s="1" t="str">
        <f t="shared" si="16"/>
        <v/>
      </c>
      <c r="F42" s="1" t="str">
        <f t="shared" si="17"/>
        <v/>
      </c>
      <c r="G42" s="1" t="str">
        <f t="shared" si="18"/>
        <v/>
      </c>
      <c r="H42" s="8">
        <f>IF(G42="",0,IF(I42=0,0,Input!H62))</f>
        <v>0</v>
      </c>
      <c r="I42" s="235">
        <f>Input!I62</f>
        <v>1</v>
      </c>
      <c r="J42" s="8">
        <f t="shared" si="63"/>
        <v>0</v>
      </c>
      <c r="K42" s="216">
        <f>IF(I42=0,$P$31,IF(Input!J62="",$P$31,Input!J62))</f>
        <v>32.799999999999997</v>
      </c>
      <c r="M42" s="9"/>
      <c r="O42" t="s">
        <v>41</v>
      </c>
      <c r="P42" s="452">
        <f>Input!J4</f>
        <v>60</v>
      </c>
      <c r="S42" s="2" t="s">
        <v>296</v>
      </c>
      <c r="T42" s="5"/>
      <c r="U42" s="259" t="str">
        <f>M9</f>
        <v>12 Pulse Drive</v>
      </c>
      <c r="V42" s="263" t="str">
        <f t="shared" ref="V42:V50" si="65">O6</f>
        <v>none</v>
      </c>
      <c r="W42" s="1">
        <f>COUNTIF(G$6:G$55,S42)</f>
        <v>0</v>
      </c>
      <c r="X42" s="1">
        <f>SUMIF(G$6:G$55,S42,H$6:H$55)</f>
        <v>0</v>
      </c>
      <c r="Y42" s="1">
        <f>SUMIF(G$6:G$55,S42,J$6:J$55)</f>
        <v>0</v>
      </c>
      <c r="Z42" s="218">
        <f t="shared" si="26"/>
        <v>0</v>
      </c>
      <c r="AA42" s="1">
        <f>SUMIF(G$6:G$55,S42,K$6:K$55)</f>
        <v>0</v>
      </c>
      <c r="AB42" s="219">
        <f t="shared" si="19"/>
        <v>0</v>
      </c>
      <c r="AC42" s="7">
        <f t="shared" si="20"/>
        <v>0</v>
      </c>
      <c r="AE42" s="2" t="s">
        <v>296</v>
      </c>
      <c r="AF42" s="250">
        <f>X42*0.746/Instructions!E$194/Instructions!E$195</f>
        <v>0</v>
      </c>
      <c r="AG42" s="250">
        <f>Y42*0.746/Instructions!E$194/Instructions!E$195</f>
        <v>0</v>
      </c>
      <c r="AH42" s="250">
        <v>0.98099999999999998</v>
      </c>
      <c r="AI42" s="250">
        <f t="shared" si="33"/>
        <v>0</v>
      </c>
      <c r="AJ42" s="250">
        <f>SQRT(3)*P$21*AQ42/1000</f>
        <v>0</v>
      </c>
      <c r="AK42" s="250">
        <f>SQRT(SUMSQ(AG42,AI42,AJ42))</f>
        <v>0</v>
      </c>
      <c r="AL42" s="2"/>
      <c r="AM42" s="2" t="s">
        <v>296</v>
      </c>
      <c r="AN42" s="18">
        <f>1000*AF42/(SQRT(3)*P$21)</f>
        <v>0</v>
      </c>
      <c r="AO42" s="18">
        <f>1000*AG42/(SQRT(3)*P$21)</f>
        <v>0</v>
      </c>
      <c r="AP42" s="18">
        <f>1000*AI42/(SQRT(3)*P$21)</f>
        <v>0</v>
      </c>
      <c r="AQ42" s="280">
        <f>Sum!AC107</f>
        <v>0</v>
      </c>
      <c r="AR42" s="18">
        <f t="shared" si="23"/>
        <v>0</v>
      </c>
      <c r="AS42" s="18">
        <f>SQRT(SUMSQ(AQ42,AR42))</f>
        <v>0</v>
      </c>
      <c r="AT42" s="18">
        <f>IF(AR42=0,0,100*AQ42/AR42)</f>
        <v>0</v>
      </c>
      <c r="AV42" s="2" t="s">
        <v>296</v>
      </c>
      <c r="AW42" s="8">
        <f>P$23</f>
        <v>19.098593171027439</v>
      </c>
      <c r="AX42" s="8">
        <f>AC42*Instructions!E$197</f>
        <v>0</v>
      </c>
      <c r="AY42" s="8">
        <f t="shared" si="24"/>
        <v>19.098593171027439</v>
      </c>
      <c r="AZ42" s="7">
        <f>IF(AR42=0,1000*P$22,(P$21/(SQRT(3)*2*PI()*P$20*AY42/1000000)))</f>
        <v>38490.017945975058</v>
      </c>
      <c r="BA42" s="7">
        <f>IF(AR42=0,1000*P$22,AZ42/AR42)</f>
        <v>38490.017945975058</v>
      </c>
      <c r="BB42" s="314">
        <f>'D01'!F1</f>
        <v>0.1</v>
      </c>
    </row>
    <row r="43" spans="1:54" x14ac:dyDescent="0.3">
      <c r="A43" s="1" t="str">
        <f t="shared" si="62"/>
        <v/>
      </c>
      <c r="B43" s="1">
        <f>Input!B63</f>
        <v>38</v>
      </c>
      <c r="C43" s="1" t="str">
        <f>IF(Input!F63="","",Input!F63)</f>
        <v/>
      </c>
      <c r="D43" s="1" t="str">
        <f>IF(C43="","",IF(Input!G63="","none",Input!G63))</f>
        <v/>
      </c>
      <c r="E43" s="1" t="str">
        <f t="shared" si="16"/>
        <v/>
      </c>
      <c r="F43" s="1" t="str">
        <f t="shared" si="17"/>
        <v/>
      </c>
      <c r="G43" s="1" t="str">
        <f t="shared" si="18"/>
        <v/>
      </c>
      <c r="H43" s="8">
        <f>IF(G43="",0,IF(I43=0,0,Input!H63))</f>
        <v>0</v>
      </c>
      <c r="I43" s="235">
        <f>Input!I63</f>
        <v>1</v>
      </c>
      <c r="J43" s="8">
        <f t="shared" si="63"/>
        <v>0</v>
      </c>
      <c r="K43" s="216">
        <f>IF(I43=0,$P$31,IF(Input!J63="",$P$31,Input!J63))</f>
        <v>32.799999999999997</v>
      </c>
      <c r="O43" t="s">
        <v>944</v>
      </c>
      <c r="P43" s="452">
        <f>Input!H5</f>
        <v>13800</v>
      </c>
      <c r="S43" s="2" t="s">
        <v>374</v>
      </c>
      <c r="T43" s="5" t="s">
        <v>373</v>
      </c>
      <c r="U43" s="85" t="str">
        <f>U42</f>
        <v>12 Pulse Drive</v>
      </c>
      <c r="V43" s="263" t="str">
        <f t="shared" si="65"/>
        <v>1.5% AC Reactor</v>
      </c>
      <c r="Z43" s="218"/>
      <c r="AC43" s="7"/>
      <c r="AE43" s="2"/>
      <c r="AF43" s="250"/>
      <c r="AG43" s="250"/>
      <c r="AH43" s="250"/>
      <c r="AI43" s="250"/>
      <c r="AJ43" s="250"/>
      <c r="AK43" s="250"/>
      <c r="AL43" s="2"/>
      <c r="AM43" s="2"/>
      <c r="AN43" s="18"/>
      <c r="AO43" s="18"/>
      <c r="AP43" s="18"/>
      <c r="AQ43" s="18"/>
      <c r="AR43" s="18"/>
      <c r="AS43" s="18"/>
      <c r="AT43" s="18"/>
      <c r="AW43" s="8"/>
      <c r="AX43" s="8"/>
      <c r="AY43" s="8"/>
      <c r="AZ43" s="7"/>
      <c r="BA43" s="7"/>
    </row>
    <row r="44" spans="1:54" x14ac:dyDescent="0.3">
      <c r="A44" s="1" t="str">
        <f t="shared" si="62"/>
        <v/>
      </c>
      <c r="B44" s="1">
        <f>Input!B64</f>
        <v>39</v>
      </c>
      <c r="C44" s="1" t="str">
        <f>IF(Input!F64="","",Input!F64)</f>
        <v/>
      </c>
      <c r="D44" s="1" t="str">
        <f>IF(C44="","",IF(Input!G64="","none",Input!G64))</f>
        <v/>
      </c>
      <c r="E44" s="1" t="str">
        <f t="shared" si="16"/>
        <v/>
      </c>
      <c r="F44" s="1" t="str">
        <f t="shared" si="17"/>
        <v/>
      </c>
      <c r="G44" s="1" t="str">
        <f t="shared" si="18"/>
        <v/>
      </c>
      <c r="H44" s="8">
        <f>IF(G44="",0,IF(I44=0,0,Input!H64))</f>
        <v>0</v>
      </c>
      <c r="I44" s="235">
        <f>Input!I64</f>
        <v>1</v>
      </c>
      <c r="J44" s="8">
        <f t="shared" si="63"/>
        <v>0</v>
      </c>
      <c r="K44" s="216">
        <f>IF(I44=0,$P$31,IF(Input!J64="",$P$31,Input!J64))</f>
        <v>32.799999999999997</v>
      </c>
      <c r="O44" t="s">
        <v>42</v>
      </c>
      <c r="P44" s="452">
        <f>Input!H6</f>
        <v>400</v>
      </c>
      <c r="S44" s="2" t="s">
        <v>375</v>
      </c>
      <c r="T44" s="5" t="s">
        <v>373</v>
      </c>
      <c r="U44" s="85" t="str">
        <f t="shared" ref="U44:U50" si="66">U43</f>
        <v>12 Pulse Drive</v>
      </c>
      <c r="V44" s="263" t="str">
        <f t="shared" si="65"/>
        <v>2.5% AC Reactor</v>
      </c>
      <c r="Z44" s="218"/>
      <c r="AC44" s="7"/>
      <c r="AE44" s="2"/>
      <c r="AF44" s="250"/>
      <c r="AG44" s="250"/>
      <c r="AH44" s="250"/>
      <c r="AI44" s="250"/>
      <c r="AJ44" s="250"/>
      <c r="AK44" s="250"/>
      <c r="AL44" s="2"/>
      <c r="AM44" s="2"/>
      <c r="AN44" s="18"/>
      <c r="AO44" s="18"/>
      <c r="AP44" s="18"/>
      <c r="AQ44" s="18"/>
      <c r="AR44" s="18"/>
      <c r="AS44" s="18"/>
      <c r="AT44" s="18"/>
      <c r="AW44" s="8"/>
      <c r="AX44" s="8"/>
      <c r="AY44" s="8"/>
      <c r="AZ44" s="7"/>
      <c r="BA44" s="7"/>
    </row>
    <row r="45" spans="1:54" x14ac:dyDescent="0.3">
      <c r="A45" s="1" t="str">
        <f t="shared" si="62"/>
        <v/>
      </c>
      <c r="B45" s="1">
        <f>Input!B65</f>
        <v>40</v>
      </c>
      <c r="C45" s="1" t="str">
        <f>IF(Input!F65="","",Input!F65)</f>
        <v/>
      </c>
      <c r="D45" s="1" t="str">
        <f>IF(C45="","",IF(Input!G65="","none",Input!G65))</f>
        <v/>
      </c>
      <c r="E45" s="1" t="str">
        <f t="shared" si="16"/>
        <v/>
      </c>
      <c r="F45" s="1" t="str">
        <f t="shared" si="17"/>
        <v/>
      </c>
      <c r="G45" s="1" t="str">
        <f t="shared" si="18"/>
        <v/>
      </c>
      <c r="H45" s="8">
        <f>IF(G45="",0,IF(I45=0,0,Input!H65))</f>
        <v>0</v>
      </c>
      <c r="I45" s="235">
        <f>Input!I65</f>
        <v>1</v>
      </c>
      <c r="J45" s="8">
        <f t="shared" si="63"/>
        <v>0</v>
      </c>
      <c r="K45" s="216">
        <f>IF(I45=0,$P$31,IF(Input!J65="",$P$31,Input!J65))</f>
        <v>32.799999999999997</v>
      </c>
      <c r="S45" s="2" t="s">
        <v>376</v>
      </c>
      <c r="T45" s="5" t="s">
        <v>373</v>
      </c>
      <c r="U45" s="85" t="str">
        <f t="shared" si="66"/>
        <v>12 Pulse Drive</v>
      </c>
      <c r="V45" s="263" t="str">
        <f t="shared" si="65"/>
        <v>3% AC Reactor</v>
      </c>
      <c r="Z45" s="218"/>
      <c r="AC45" s="7"/>
      <c r="AE45" s="2"/>
      <c r="AF45" s="250"/>
      <c r="AG45" s="250"/>
      <c r="AH45" s="250"/>
      <c r="AI45" s="250"/>
      <c r="AJ45" s="250"/>
      <c r="AK45" s="250"/>
      <c r="AL45" s="2"/>
      <c r="AM45" s="2"/>
      <c r="AN45" s="18"/>
      <c r="AO45" s="18"/>
      <c r="AP45" s="18"/>
      <c r="AQ45" s="18"/>
      <c r="AR45" s="18"/>
      <c r="AS45" s="18"/>
      <c r="AT45" s="18"/>
      <c r="AW45" s="8"/>
      <c r="AX45" s="8"/>
      <c r="AY45" s="8"/>
      <c r="AZ45" s="7"/>
      <c r="BA45" s="7"/>
    </row>
    <row r="46" spans="1:54" x14ac:dyDescent="0.3">
      <c r="A46" s="1" t="str">
        <f t="shared" si="62"/>
        <v/>
      </c>
      <c r="B46" s="1">
        <f>Input!B66</f>
        <v>41</v>
      </c>
      <c r="C46" s="1" t="str">
        <f>IF(Input!F66="","",Input!F66)</f>
        <v/>
      </c>
      <c r="D46" s="1" t="str">
        <f>IF(C46="","",IF(Input!G66="","none",Input!G66))</f>
        <v/>
      </c>
      <c r="E46" s="1" t="str">
        <f t="shared" si="16"/>
        <v/>
      </c>
      <c r="F46" s="1" t="str">
        <f t="shared" si="17"/>
        <v/>
      </c>
      <c r="G46" s="1" t="str">
        <f t="shared" si="18"/>
        <v/>
      </c>
      <c r="H46" s="8">
        <f>IF(G46="",0,IF(I46=0,0,Input!H66))</f>
        <v>0</v>
      </c>
      <c r="I46" s="235">
        <f>Input!I66</f>
        <v>1</v>
      </c>
      <c r="J46" s="8">
        <f t="shared" si="63"/>
        <v>0</v>
      </c>
      <c r="K46" s="216">
        <f>IF(I46=0,$P$31,IF(Input!J66="",$P$31,Input!J66))</f>
        <v>32.799999999999997</v>
      </c>
      <c r="O46" s="4" t="s">
        <v>55</v>
      </c>
      <c r="S46" s="2" t="s">
        <v>377</v>
      </c>
      <c r="T46" s="5" t="s">
        <v>373</v>
      </c>
      <c r="U46" s="85" t="str">
        <f t="shared" si="66"/>
        <v>12 Pulse Drive</v>
      </c>
      <c r="V46" s="263" t="str">
        <f t="shared" si="65"/>
        <v>5% AC Reactor</v>
      </c>
      <c r="Z46" s="218"/>
      <c r="AC46" s="7"/>
      <c r="AE46" s="2"/>
      <c r="AF46" s="250"/>
      <c r="AG46" s="250"/>
      <c r="AH46" s="250"/>
      <c r="AI46" s="250"/>
      <c r="AJ46" s="250"/>
      <c r="AK46" s="250"/>
      <c r="AL46" s="2"/>
      <c r="AM46" s="2"/>
      <c r="AN46" s="18"/>
      <c r="AO46" s="18"/>
      <c r="AP46" s="18"/>
      <c r="AQ46" s="18"/>
      <c r="AR46" s="18"/>
      <c r="AS46" s="18"/>
      <c r="AT46" s="18"/>
      <c r="AW46" s="8"/>
      <c r="AX46" s="8"/>
      <c r="AY46" s="8"/>
      <c r="AZ46" s="7"/>
      <c r="BA46" s="7"/>
    </row>
    <row r="47" spans="1:54" x14ac:dyDescent="0.3">
      <c r="A47" s="1" t="str">
        <f t="shared" si="62"/>
        <v/>
      </c>
      <c r="B47" s="1">
        <f>Input!B67</f>
        <v>42</v>
      </c>
      <c r="C47" s="1" t="str">
        <f>IF(Input!F67="","",Input!F67)</f>
        <v/>
      </c>
      <c r="D47" s="1" t="str">
        <f>IF(C47="","",IF(Input!G67="","none",Input!G67))</f>
        <v/>
      </c>
      <c r="E47" s="1" t="str">
        <f t="shared" si="16"/>
        <v/>
      </c>
      <c r="F47" s="1" t="str">
        <f t="shared" si="17"/>
        <v/>
      </c>
      <c r="G47" s="1" t="str">
        <f t="shared" si="18"/>
        <v/>
      </c>
      <c r="H47" s="8">
        <f>IF(G47="",0,IF(I47=0,0,Input!H67))</f>
        <v>0</v>
      </c>
      <c r="I47" s="235">
        <f>Input!I67</f>
        <v>1</v>
      </c>
      <c r="J47" s="8">
        <f t="shared" si="63"/>
        <v>0</v>
      </c>
      <c r="K47" s="216">
        <f>IF(I47=0,$P$31,IF(Input!J67="",$P$31,Input!J67))</f>
        <v>32.799999999999997</v>
      </c>
      <c r="O47" t="s">
        <v>243</v>
      </c>
      <c r="P47" s="452">
        <f>Input!H8</f>
        <v>2000</v>
      </c>
      <c r="S47" s="2" t="s">
        <v>378</v>
      </c>
      <c r="T47" s="5" t="s">
        <v>373</v>
      </c>
      <c r="U47" s="85" t="str">
        <f t="shared" si="66"/>
        <v>12 Pulse Drive</v>
      </c>
      <c r="V47" s="263" t="str">
        <f t="shared" si="65"/>
        <v>7% AC Reactor</v>
      </c>
      <c r="Z47" s="218"/>
      <c r="AC47" s="7"/>
      <c r="AE47" s="2"/>
      <c r="AF47" s="250"/>
      <c r="AG47" s="250"/>
      <c r="AH47" s="250"/>
      <c r="AI47" s="250"/>
      <c r="AJ47" s="250"/>
      <c r="AK47" s="250"/>
      <c r="AL47" s="2"/>
      <c r="AM47" s="2"/>
      <c r="AN47" s="18"/>
      <c r="AO47" s="18"/>
      <c r="AP47" s="18"/>
      <c r="AQ47" s="18"/>
      <c r="AR47" s="18"/>
      <c r="AS47" s="18"/>
      <c r="AT47" s="18"/>
      <c r="AW47" s="8"/>
      <c r="AX47" s="8"/>
      <c r="AY47" s="8"/>
      <c r="AZ47" s="7"/>
      <c r="BA47" s="7"/>
    </row>
    <row r="48" spans="1:54" x14ac:dyDescent="0.3">
      <c r="A48" s="1" t="str">
        <f t="shared" si="62"/>
        <v/>
      </c>
      <c r="B48" s="1">
        <f>Input!B68</f>
        <v>43</v>
      </c>
      <c r="C48" s="1" t="str">
        <f>IF(Input!F68="","",Input!F68)</f>
        <v/>
      </c>
      <c r="D48" s="1" t="str">
        <f>IF(C48="","",IF(Input!G68="","none",Input!G68))</f>
        <v/>
      </c>
      <c r="E48" s="1" t="str">
        <f t="shared" si="16"/>
        <v/>
      </c>
      <c r="F48" s="1" t="str">
        <f t="shared" si="17"/>
        <v/>
      </c>
      <c r="G48" s="1" t="str">
        <f t="shared" si="18"/>
        <v/>
      </c>
      <c r="H48" s="8">
        <f>IF(G48="",0,IF(I48=0,0,Input!H68))</f>
        <v>0</v>
      </c>
      <c r="I48" s="235">
        <f>Input!I68</f>
        <v>1</v>
      </c>
      <c r="J48" s="8">
        <f t="shared" si="63"/>
        <v>0</v>
      </c>
      <c r="K48" s="216">
        <f>IF(I48=0,$P$31,IF(Input!J68="",$P$31,Input!J68))</f>
        <v>32.799999999999997</v>
      </c>
      <c r="O48" t="s">
        <v>945</v>
      </c>
      <c r="P48" s="454">
        <f>Input!H9</f>
        <v>480</v>
      </c>
      <c r="S48" s="2" t="s">
        <v>379</v>
      </c>
      <c r="T48" s="5" t="s">
        <v>373</v>
      </c>
      <c r="U48" s="85" t="str">
        <f t="shared" si="66"/>
        <v>12 Pulse Drive</v>
      </c>
      <c r="V48" s="263" t="str">
        <f t="shared" si="65"/>
        <v>10% AC Reactor</v>
      </c>
      <c r="Z48" s="218"/>
      <c r="AC48" s="7"/>
      <c r="AE48" s="2"/>
      <c r="AF48" s="250"/>
      <c r="AG48" s="250"/>
      <c r="AH48" s="250"/>
      <c r="AI48" s="250"/>
      <c r="AJ48" s="250"/>
      <c r="AK48" s="250"/>
      <c r="AL48" s="2"/>
      <c r="AM48" s="2"/>
      <c r="AN48" s="18"/>
      <c r="AO48" s="18"/>
      <c r="AP48" s="18"/>
      <c r="AQ48" s="18"/>
      <c r="AR48" s="18"/>
      <c r="AS48" s="18"/>
      <c r="AT48" s="18"/>
      <c r="AW48" s="8"/>
      <c r="AX48" s="8"/>
      <c r="AY48" s="8"/>
      <c r="AZ48" s="7"/>
      <c r="BA48" s="7"/>
    </row>
    <row r="49" spans="1:54" x14ac:dyDescent="0.3">
      <c r="A49" s="1" t="str">
        <f t="shared" si="62"/>
        <v/>
      </c>
      <c r="B49" s="1">
        <f>Input!B69</f>
        <v>44</v>
      </c>
      <c r="C49" s="1" t="str">
        <f>IF(Input!F69="","",Input!F69)</f>
        <v/>
      </c>
      <c r="D49" s="1" t="str">
        <f>IF(C49="","",IF(Input!G69="","none",Input!G69))</f>
        <v/>
      </c>
      <c r="E49" s="1" t="str">
        <f t="shared" si="16"/>
        <v/>
      </c>
      <c r="F49" s="1" t="str">
        <f t="shared" si="17"/>
        <v/>
      </c>
      <c r="G49" s="1" t="str">
        <f t="shared" si="18"/>
        <v/>
      </c>
      <c r="H49" s="8">
        <f>IF(G49="",0,IF(I49=0,0,Input!H69))</f>
        <v>0</v>
      </c>
      <c r="I49" s="235">
        <f>Input!I69</f>
        <v>1</v>
      </c>
      <c r="J49" s="8">
        <f t="shared" si="63"/>
        <v>0</v>
      </c>
      <c r="K49" s="216">
        <f>IF(I49=0,$P$31,IF(Input!J69="",$P$31,Input!J69))</f>
        <v>32.799999999999997</v>
      </c>
      <c r="O49" t="s">
        <v>946</v>
      </c>
      <c r="P49" s="455">
        <f>Input!H10</f>
        <v>5.75</v>
      </c>
      <c r="S49" s="2" t="s">
        <v>380</v>
      </c>
      <c r="T49" s="5" t="s">
        <v>373</v>
      </c>
      <c r="U49" s="85" t="str">
        <f t="shared" si="66"/>
        <v>12 Pulse Drive</v>
      </c>
      <c r="V49" s="263" t="str">
        <f t="shared" si="65"/>
        <v>7% THDi Passive Filter</v>
      </c>
      <c r="Z49" s="218"/>
      <c r="AC49" s="7"/>
      <c r="AE49" s="2"/>
      <c r="AF49" s="250"/>
      <c r="AG49" s="250"/>
      <c r="AH49" s="250"/>
      <c r="AI49" s="250"/>
      <c r="AJ49" s="250"/>
      <c r="AK49" s="250"/>
      <c r="AL49" s="2"/>
      <c r="AM49" s="2"/>
      <c r="AN49" s="18"/>
      <c r="AO49" s="18"/>
      <c r="AP49" s="18"/>
      <c r="AQ49" s="18"/>
      <c r="AR49" s="18"/>
      <c r="AS49" s="18"/>
      <c r="AT49" s="18"/>
      <c r="AW49" s="8"/>
      <c r="AX49" s="8"/>
      <c r="AY49" s="8"/>
      <c r="AZ49" s="7"/>
      <c r="BA49" s="7"/>
    </row>
    <row r="50" spans="1:54" x14ac:dyDescent="0.3">
      <c r="A50" s="1" t="str">
        <f t="shared" si="62"/>
        <v/>
      </c>
      <c r="B50" s="1">
        <f>Input!B70</f>
        <v>45</v>
      </c>
      <c r="C50" s="1" t="str">
        <f>IF(Input!F70="","",Input!F70)</f>
        <v/>
      </c>
      <c r="D50" s="1" t="str">
        <f>IF(C50="","",IF(Input!G70="","none",Input!G70))</f>
        <v/>
      </c>
      <c r="E50" s="1" t="str">
        <f t="shared" si="16"/>
        <v/>
      </c>
      <c r="F50" s="1" t="str">
        <f t="shared" si="17"/>
        <v/>
      </c>
      <c r="G50" s="1" t="str">
        <f t="shared" si="18"/>
        <v/>
      </c>
      <c r="H50" s="8">
        <f>IF(G50="",0,IF(I50=0,0,Input!H70))</f>
        <v>0</v>
      </c>
      <c r="I50" s="235">
        <f>Input!I70</f>
        <v>1</v>
      </c>
      <c r="J50" s="8">
        <f t="shared" si="63"/>
        <v>0</v>
      </c>
      <c r="K50" s="216">
        <f>IF(I50=0,$P$31,IF(Input!J70="",$P$31,Input!J70))</f>
        <v>32.799999999999997</v>
      </c>
      <c r="P50" s="456"/>
      <c r="S50" s="2" t="s">
        <v>381</v>
      </c>
      <c r="T50" s="5" t="s">
        <v>373</v>
      </c>
      <c r="U50" s="85" t="str">
        <f t="shared" si="66"/>
        <v>12 Pulse Drive</v>
      </c>
      <c r="V50" s="263" t="str">
        <f t="shared" si="65"/>
        <v>5% THDi Passive Filter</v>
      </c>
      <c r="Z50" s="218"/>
      <c r="AC50" s="7"/>
      <c r="AE50" s="2"/>
      <c r="AF50" s="250"/>
      <c r="AG50" s="250"/>
      <c r="AH50" s="250"/>
      <c r="AI50" s="250"/>
      <c r="AJ50" s="250"/>
      <c r="AK50" s="250"/>
      <c r="AL50" s="2"/>
      <c r="AM50" s="2"/>
      <c r="AN50" s="18"/>
      <c r="AO50" s="18"/>
      <c r="AP50" s="18"/>
      <c r="AQ50" s="18"/>
      <c r="AR50" s="18"/>
      <c r="AS50" s="18"/>
      <c r="AT50" s="18"/>
      <c r="AW50" s="8"/>
      <c r="AX50" s="8"/>
      <c r="AY50" s="8"/>
      <c r="AZ50" s="7"/>
      <c r="BA50" s="7"/>
    </row>
    <row r="51" spans="1:54" x14ac:dyDescent="0.3">
      <c r="A51" s="1" t="str">
        <f t="shared" si="62"/>
        <v/>
      </c>
      <c r="B51" s="1">
        <f>Input!B71</f>
        <v>46</v>
      </c>
      <c r="C51" s="1" t="str">
        <f>IF(Input!F71="","",Input!F71)</f>
        <v/>
      </c>
      <c r="D51" s="1" t="str">
        <f>IF(C51="","",IF(Input!G71="","none",Input!G71))</f>
        <v/>
      </c>
      <c r="E51" s="1" t="str">
        <f t="shared" si="16"/>
        <v/>
      </c>
      <c r="F51" s="1" t="str">
        <f t="shared" si="17"/>
        <v/>
      </c>
      <c r="G51" s="1" t="str">
        <f t="shared" si="18"/>
        <v/>
      </c>
      <c r="H51" s="8">
        <f>IF(G51="",0,IF(I51=0,0,Input!H71))</f>
        <v>0</v>
      </c>
      <c r="I51" s="235">
        <f>Input!I71</f>
        <v>1</v>
      </c>
      <c r="J51" s="8">
        <f t="shared" si="63"/>
        <v>0</v>
      </c>
      <c r="K51" s="216">
        <f>IF(I51=0,$P$31,IF(Input!J71="",$P$31,Input!J71))</f>
        <v>32.799999999999997</v>
      </c>
      <c r="O51" s="4" t="s">
        <v>51</v>
      </c>
      <c r="Q51" s="17" t="s">
        <v>176</v>
      </c>
      <c r="U51" s="85"/>
      <c r="V51" s="85"/>
      <c r="Z51" s="218"/>
      <c r="AC51" s="7"/>
      <c r="AE51" s="2"/>
      <c r="AF51" s="250"/>
      <c r="AG51" s="250"/>
      <c r="AH51" s="250"/>
      <c r="AI51" s="250"/>
      <c r="AJ51" s="250"/>
      <c r="AK51" s="250"/>
      <c r="AL51" s="2"/>
      <c r="AM51" s="2"/>
      <c r="AN51" s="18"/>
      <c r="AO51" s="18"/>
      <c r="AP51" s="18"/>
      <c r="AQ51" s="18"/>
      <c r="AR51" s="18"/>
      <c r="AS51" s="18"/>
      <c r="AT51" s="18"/>
      <c r="AW51" s="8"/>
      <c r="AX51" s="8"/>
      <c r="AY51" s="8"/>
      <c r="AZ51" s="7"/>
      <c r="BA51" s="7"/>
    </row>
    <row r="52" spans="1:54" x14ac:dyDescent="0.3">
      <c r="A52" s="1" t="str">
        <f t="shared" si="62"/>
        <v/>
      </c>
      <c r="B52" s="1">
        <f>Input!B72</f>
        <v>47</v>
      </c>
      <c r="C52" s="1" t="str">
        <f>IF(Input!F72="","",Input!F72)</f>
        <v/>
      </c>
      <c r="D52" s="1" t="str">
        <f>IF(C52="","",IF(Input!G72="","none",Input!G72))</f>
        <v/>
      </c>
      <c r="E52" s="1" t="str">
        <f t="shared" si="16"/>
        <v/>
      </c>
      <c r="F52" s="1" t="str">
        <f t="shared" si="17"/>
        <v/>
      </c>
      <c r="G52" s="1" t="str">
        <f t="shared" si="18"/>
        <v/>
      </c>
      <c r="H52" s="8">
        <f>IF(G52="",0,IF(I52=0,0,Input!H72))</f>
        <v>0</v>
      </c>
      <c r="I52" s="235">
        <f>Input!I72</f>
        <v>1</v>
      </c>
      <c r="J52" s="8">
        <f t="shared" si="63"/>
        <v>0</v>
      </c>
      <c r="K52" s="216">
        <f>IF(I52=0,$P$31,IF(Input!J72="",$P$31,Input!J72))</f>
        <v>32.799999999999997</v>
      </c>
      <c r="O52" t="s">
        <v>974</v>
      </c>
      <c r="P52" s="457">
        <f>IF(Drives!N33="Itemized",Input!G19,0)</f>
        <v>0</v>
      </c>
      <c r="Q52" s="458">
        <f>Input!I19</f>
        <v>0.85</v>
      </c>
      <c r="U52" s="85"/>
      <c r="V52" s="85"/>
      <c r="Z52" s="218"/>
      <c r="AC52" s="7"/>
      <c r="AE52" s="2"/>
      <c r="AF52" s="250"/>
      <c r="AG52" s="250"/>
      <c r="AH52" s="250"/>
      <c r="AI52" s="250"/>
      <c r="AJ52" s="250"/>
      <c r="AK52" s="250"/>
      <c r="AL52" s="2"/>
      <c r="AM52" s="2"/>
      <c r="AN52" s="18"/>
      <c r="AO52" s="18"/>
      <c r="AP52" s="18"/>
      <c r="AQ52" s="18"/>
      <c r="AR52" s="18"/>
      <c r="AS52" s="18"/>
      <c r="AT52" s="18"/>
      <c r="AW52" s="8"/>
      <c r="AX52" s="8"/>
      <c r="AY52" s="8"/>
      <c r="AZ52" s="7"/>
      <c r="BA52" s="7"/>
    </row>
    <row r="53" spans="1:54" x14ac:dyDescent="0.3">
      <c r="A53" s="1" t="str">
        <f t="shared" si="62"/>
        <v/>
      </c>
      <c r="B53" s="1">
        <f>Input!B73</f>
        <v>48</v>
      </c>
      <c r="C53" s="1" t="str">
        <f>IF(Input!F73="","",Input!F73)</f>
        <v/>
      </c>
      <c r="D53" s="1" t="str">
        <f>IF(C53="","",IF(Input!G73="","none",Input!G73))</f>
        <v/>
      </c>
      <c r="E53" s="1" t="str">
        <f t="shared" si="16"/>
        <v/>
      </c>
      <c r="F53" s="1" t="str">
        <f t="shared" si="17"/>
        <v/>
      </c>
      <c r="G53" s="1" t="str">
        <f t="shared" si="18"/>
        <v/>
      </c>
      <c r="H53" s="8">
        <f>IF(G53="",0,IF(I53=0,0,Input!H73))</f>
        <v>0</v>
      </c>
      <c r="I53" s="235">
        <f>Input!I73</f>
        <v>1</v>
      </c>
      <c r="J53" s="8">
        <f t="shared" si="63"/>
        <v>0</v>
      </c>
      <c r="K53" s="216">
        <f>IF(I53=0,$P$31,IF(Input!J73="",$P$31,Input!J73))</f>
        <v>32.799999999999997</v>
      </c>
      <c r="O53" t="s">
        <v>975</v>
      </c>
      <c r="P53" s="457">
        <f>IF(N33="Itemized",Input!G20,0)</f>
        <v>0</v>
      </c>
      <c r="Q53" s="458">
        <f>Input!I20</f>
        <v>1</v>
      </c>
      <c r="S53" s="257" t="s">
        <v>355</v>
      </c>
      <c r="T53" s="261"/>
      <c r="U53" s="258" t="str">
        <f>U41</f>
        <v>Drive</v>
      </c>
      <c r="V53" s="258" t="str">
        <f t="shared" ref="V53:BA53" si="67">V41</f>
        <v>Filter</v>
      </c>
      <c r="W53" s="258" t="str">
        <f t="shared" si="67"/>
        <v>Count</v>
      </c>
      <c r="X53" s="258" t="str">
        <f t="shared" si="67"/>
        <v>total rated HP</v>
      </c>
      <c r="Y53" s="258" t="str">
        <f t="shared" si="67"/>
        <v>total actual HP</v>
      </c>
      <c r="Z53" s="258" t="str">
        <f t="shared" si="67"/>
        <v>avg pu load</v>
      </c>
      <c r="AA53" s="258" t="str">
        <f t="shared" si="67"/>
        <v>total ft</v>
      </c>
      <c r="AB53" s="258" t="str">
        <f t="shared" si="67"/>
        <v>avg ft</v>
      </c>
      <c r="AC53" s="258" t="str">
        <f t="shared" si="67"/>
        <v>avg m</v>
      </c>
      <c r="AD53" s="258"/>
      <c r="AE53" s="258"/>
      <c r="AF53" s="258" t="str">
        <f t="shared" si="67"/>
        <v>Pin rated [kW]</v>
      </c>
      <c r="AG53" s="258" t="str">
        <f t="shared" si="67"/>
        <v>Pin actual [kW]</v>
      </c>
      <c r="AH53" s="258" t="str">
        <f t="shared" si="67"/>
        <v>PF disp</v>
      </c>
      <c r="AI53" s="258" t="str">
        <f t="shared" si="67"/>
        <v>Qin [kVAR]</v>
      </c>
      <c r="AJ53" s="258" t="str">
        <f t="shared" si="67"/>
        <v>Din [kVAD]</v>
      </c>
      <c r="AK53" s="258" t="str">
        <f t="shared" si="67"/>
        <v>Sin [kVA]</v>
      </c>
      <c r="AL53" s="258"/>
      <c r="AM53" s="258"/>
      <c r="AN53" s="258" t="str">
        <f t="shared" si="67"/>
        <v>Ireal rated [A]</v>
      </c>
      <c r="AO53" s="258" t="str">
        <f t="shared" si="67"/>
        <v>Ireal actual [A]</v>
      </c>
      <c r="AP53" s="258" t="str">
        <f t="shared" si="67"/>
        <v>Ireact [A]</v>
      </c>
      <c r="AQ53" s="258" t="str">
        <f t="shared" si="67"/>
        <v>Iharm [A]</v>
      </c>
      <c r="AR53" s="258" t="str">
        <f t="shared" si="67"/>
        <v>Ifund [A]</v>
      </c>
      <c r="AS53" s="258" t="str">
        <f t="shared" si="67"/>
        <v>Itotal [A]</v>
      </c>
      <c r="AT53" s="258" t="str">
        <f t="shared" si="67"/>
        <v>Ithd [%]</v>
      </c>
      <c r="AU53" s="258"/>
      <c r="AV53" s="258"/>
      <c r="AW53" s="258" t="str">
        <f t="shared" si="67"/>
        <v>X source [uH]</v>
      </c>
      <c r="AX53" s="258" t="str">
        <f t="shared" si="67"/>
        <v>X cable [uH]</v>
      </c>
      <c r="AY53" s="258" t="str">
        <f t="shared" si="67"/>
        <v>x total [uH]</v>
      </c>
      <c r="AZ53" s="258" t="str">
        <f t="shared" si="67"/>
        <v>Isc</v>
      </c>
      <c r="BA53" s="258" t="str">
        <f t="shared" si="67"/>
        <v>Isc / Ifund</v>
      </c>
      <c r="BB53" s="258" t="s">
        <v>1</v>
      </c>
    </row>
    <row r="54" spans="1:54" x14ac:dyDescent="0.3">
      <c r="A54" s="1" t="str">
        <f t="shared" si="62"/>
        <v/>
      </c>
      <c r="B54" s="1">
        <f>Input!B74</f>
        <v>49</v>
      </c>
      <c r="C54" s="1" t="str">
        <f>IF(Input!F74="","",Input!F74)</f>
        <v/>
      </c>
      <c r="D54" s="1" t="str">
        <f>IF(C54="","",IF(Input!G74="","none",Input!G74))</f>
        <v/>
      </c>
      <c r="E54" s="1" t="str">
        <f t="shared" si="16"/>
        <v/>
      </c>
      <c r="F54" s="1" t="str">
        <f t="shared" si="17"/>
        <v/>
      </c>
      <c r="G54" s="1" t="str">
        <f t="shared" si="18"/>
        <v/>
      </c>
      <c r="H54" s="8">
        <f>IF(G54="",0,IF(I54=0,0,Input!H74))</f>
        <v>0</v>
      </c>
      <c r="I54" s="235">
        <f>Input!I74</f>
        <v>1</v>
      </c>
      <c r="J54" s="8">
        <f t="shared" si="63"/>
        <v>0</v>
      </c>
      <c r="K54" s="216">
        <f>IF(I54=0,$P$31,IF(Input!J74="",$P$31,Input!J74))</f>
        <v>32.799999999999997</v>
      </c>
      <c r="O54" t="s">
        <v>1085</v>
      </c>
      <c r="P54" s="457">
        <f>IF(N33="Itemized",Input!G21,0)</f>
        <v>0</v>
      </c>
      <c r="Q54" s="264">
        <f>Input!I21</f>
        <v>0.9</v>
      </c>
      <c r="S54" s="2" t="s">
        <v>297</v>
      </c>
      <c r="T54" s="5"/>
      <c r="U54" s="259" t="str">
        <f>M10</f>
        <v>18 Pulse Drive</v>
      </c>
      <c r="V54" s="259" t="str">
        <f t="shared" ref="V54:V62" si="68">O6</f>
        <v>none</v>
      </c>
      <c r="W54" s="1">
        <f>COUNTIF(G$6:G$55,S54)</f>
        <v>0</v>
      </c>
      <c r="X54" s="1">
        <f>SUMIF(G$6:G$55,S54,H$6:H$55)</f>
        <v>0</v>
      </c>
      <c r="Y54" s="1">
        <f>SUMIF(G$6:G$55,S54,J$6:J$55)</f>
        <v>0</v>
      </c>
      <c r="Z54" s="218">
        <f t="shared" si="26"/>
        <v>0</v>
      </c>
      <c r="AA54" s="1">
        <f>SUMIF(G$6:G$55,S54,K$6:K$55)</f>
        <v>0</v>
      </c>
      <c r="AB54" s="219">
        <f t="shared" si="19"/>
        <v>0</v>
      </c>
      <c r="AC54" s="7">
        <f t="shared" si="20"/>
        <v>0</v>
      </c>
      <c r="AE54" s="2" t="s">
        <v>297</v>
      </c>
      <c r="AF54" s="250">
        <f>X54*0.746/Instructions!E$194/Instructions!E$195</f>
        <v>0</v>
      </c>
      <c r="AG54" s="250">
        <f>Y54*0.746/Instructions!E$194/Instructions!E$195</f>
        <v>0</v>
      </c>
      <c r="AH54" s="250">
        <v>0.98499999999999999</v>
      </c>
      <c r="AI54" s="250">
        <f t="shared" si="33"/>
        <v>0</v>
      </c>
      <c r="AJ54" s="250">
        <f>SQRT(3)*P$21*AQ54/1000</f>
        <v>0</v>
      </c>
      <c r="AK54" s="250">
        <f>SQRT(SUMSQ(AG54,AI54,AJ54))</f>
        <v>0</v>
      </c>
      <c r="AL54" s="2"/>
      <c r="AM54" s="2" t="s">
        <v>297</v>
      </c>
      <c r="AN54" s="18">
        <f>1000*AF54/(SQRT(3)*P$21)</f>
        <v>0</v>
      </c>
      <c r="AO54" s="18">
        <f>1000*AG54/(SQRT(3)*P$21)</f>
        <v>0</v>
      </c>
      <c r="AP54" s="18">
        <f>1000*AI54/(SQRT(3)*P$21)</f>
        <v>0</v>
      </c>
      <c r="AQ54" s="280">
        <f>Sum!AD107</f>
        <v>0</v>
      </c>
      <c r="AR54" s="18">
        <f t="shared" si="23"/>
        <v>0</v>
      </c>
      <c r="AS54" s="18">
        <f>SQRT(SUMSQ(AQ54,AR54))</f>
        <v>0</v>
      </c>
      <c r="AT54" s="18">
        <f>IF(AR54=0,0,100*AQ54/AR54)</f>
        <v>0</v>
      </c>
      <c r="AV54" s="2" t="s">
        <v>297</v>
      </c>
      <c r="AW54" s="8">
        <f>P$23</f>
        <v>19.098593171027439</v>
      </c>
      <c r="AX54" s="8">
        <f>AC54*Instructions!E$197</f>
        <v>0</v>
      </c>
      <c r="AY54" s="8">
        <f t="shared" si="24"/>
        <v>19.098593171027439</v>
      </c>
      <c r="AZ54" s="7">
        <f>IF(AR54=0,1000*P$22,(P$21/(SQRT(3)*2*PI()*P$20*AY54/1000000)))</f>
        <v>38490.017945975058</v>
      </c>
      <c r="BA54" s="7">
        <f>IF(AR54=0,1000*P$22,AZ54/AR54)</f>
        <v>38490.017945975058</v>
      </c>
      <c r="BB54" s="314">
        <f>'E01'!F1</f>
        <v>0.1</v>
      </c>
    </row>
    <row r="55" spans="1:54" x14ac:dyDescent="0.3">
      <c r="A55" s="1" t="str">
        <f t="shared" si="62"/>
        <v/>
      </c>
      <c r="B55" s="1">
        <f>Input!B75</f>
        <v>50</v>
      </c>
      <c r="C55" s="1" t="str">
        <f>IF(Input!F75="","",Input!F75)</f>
        <v/>
      </c>
      <c r="D55" s="1" t="str">
        <f>IF(C55="","",IF(Input!G75="","none",Input!G75))</f>
        <v/>
      </c>
      <c r="E55" s="1" t="str">
        <f t="shared" si="16"/>
        <v/>
      </c>
      <c r="F55" s="1" t="str">
        <f t="shared" si="17"/>
        <v/>
      </c>
      <c r="G55" s="1" t="str">
        <f t="shared" si="18"/>
        <v/>
      </c>
      <c r="H55" s="8">
        <f>IF(G55="",0,IF(I55=0,0,Input!H75))</f>
        <v>0</v>
      </c>
      <c r="I55" s="235">
        <f>Input!I75</f>
        <v>1</v>
      </c>
      <c r="J55" s="8">
        <f t="shared" si="63"/>
        <v>0</v>
      </c>
      <c r="K55" s="216">
        <f>IF(I55=0,$P$31,IF(Input!J75="",$P$31,Input!J75))</f>
        <v>32.799999999999997</v>
      </c>
      <c r="O55" t="s">
        <v>976</v>
      </c>
      <c r="P55" s="457">
        <f>IF(N33="Itemized",Input!G22,0)</f>
        <v>0</v>
      </c>
      <c r="Q55" s="458">
        <f>Input!I22</f>
        <v>0.9</v>
      </c>
      <c r="S55" s="2" t="s">
        <v>382</v>
      </c>
      <c r="T55" s="5" t="s">
        <v>373</v>
      </c>
      <c r="U55" s="259" t="str">
        <f>U54</f>
        <v>18 Pulse Drive</v>
      </c>
      <c r="V55" s="259" t="str">
        <f t="shared" si="68"/>
        <v>1.5% AC Reactor</v>
      </c>
      <c r="Z55" s="218"/>
      <c r="AC55" s="7"/>
      <c r="AE55" s="2"/>
      <c r="AF55" s="250"/>
      <c r="AG55" s="250"/>
      <c r="AH55" s="250"/>
      <c r="AI55" s="250"/>
      <c r="AJ55" s="250"/>
      <c r="AK55" s="250"/>
      <c r="AL55" s="2"/>
      <c r="AM55" s="2"/>
      <c r="AN55" s="18"/>
      <c r="AO55" s="18"/>
      <c r="AP55" s="18"/>
      <c r="AQ55" s="18"/>
      <c r="AR55" s="18"/>
      <c r="AS55" s="18"/>
      <c r="AT55" s="18"/>
      <c r="AV55" s="2"/>
      <c r="AW55" s="8"/>
      <c r="AX55" s="8"/>
      <c r="AY55" s="8"/>
      <c r="AZ55" s="7"/>
      <c r="BA55" s="7"/>
    </row>
    <row r="56" spans="1:54" x14ac:dyDescent="0.3">
      <c r="I56" s="236"/>
      <c r="O56" t="s">
        <v>977</v>
      </c>
      <c r="P56" s="457">
        <f>IF(N33="Itemized",0,Input!G16)</f>
        <v>70</v>
      </c>
      <c r="Q56" s="458">
        <f>Input!I16</f>
        <v>0.9</v>
      </c>
      <c r="S56" s="2" t="s">
        <v>383</v>
      </c>
      <c r="T56" s="5" t="s">
        <v>373</v>
      </c>
      <c r="U56" s="259" t="str">
        <f t="shared" ref="U56:U62" si="69">U55</f>
        <v>18 Pulse Drive</v>
      </c>
      <c r="V56" s="259" t="str">
        <f t="shared" si="68"/>
        <v>2.5% AC Reactor</v>
      </c>
      <c r="Z56" s="218"/>
      <c r="AC56" s="7"/>
      <c r="AE56" s="2"/>
      <c r="AF56" s="250"/>
      <c r="AG56" s="250"/>
      <c r="AH56" s="250"/>
      <c r="AI56" s="250"/>
      <c r="AJ56" s="250"/>
      <c r="AK56" s="250"/>
      <c r="AL56" s="2"/>
      <c r="AM56" s="2"/>
      <c r="AN56" s="18"/>
      <c r="AO56" s="18"/>
      <c r="AP56" s="18"/>
      <c r="AQ56" s="18"/>
      <c r="AR56" s="18"/>
      <c r="AS56" s="18"/>
      <c r="AT56" s="18"/>
      <c r="AV56" s="2"/>
      <c r="AW56" s="8"/>
      <c r="AX56" s="8"/>
      <c r="AY56" s="8"/>
      <c r="AZ56" s="7"/>
      <c r="BA56" s="7"/>
    </row>
    <row r="57" spans="1:54" x14ac:dyDescent="0.3">
      <c r="B57" s="17"/>
      <c r="D57" s="17"/>
      <c r="H57" s="17"/>
      <c r="I57" s="236"/>
      <c r="O57" t="s">
        <v>1000</v>
      </c>
      <c r="P57" s="457">
        <f>IF(N33="Itemized",0,Input!G17)</f>
        <v>100</v>
      </c>
      <c r="Q57" s="458">
        <f>Input!I17</f>
        <v>0.9</v>
      </c>
      <c r="S57" s="2" t="s">
        <v>384</v>
      </c>
      <c r="T57" s="5" t="s">
        <v>373</v>
      </c>
      <c r="U57" s="259" t="str">
        <f t="shared" si="69"/>
        <v>18 Pulse Drive</v>
      </c>
      <c r="V57" s="259" t="str">
        <f t="shared" si="68"/>
        <v>3% AC Reactor</v>
      </c>
      <c r="Z57" s="218"/>
      <c r="AC57" s="7"/>
      <c r="AE57" s="2"/>
      <c r="AF57" s="250"/>
      <c r="AG57" s="250"/>
      <c r="AH57" s="250"/>
      <c r="AI57" s="250"/>
      <c r="AJ57" s="250"/>
      <c r="AK57" s="250"/>
      <c r="AL57" s="2"/>
      <c r="AM57" s="2"/>
      <c r="AN57" s="18"/>
      <c r="AO57" s="18"/>
      <c r="AP57" s="18"/>
      <c r="AQ57" s="18"/>
      <c r="AR57" s="18"/>
      <c r="AS57" s="18"/>
      <c r="AT57" s="18"/>
      <c r="AV57" s="2"/>
      <c r="AW57" s="8"/>
      <c r="AX57" s="8"/>
      <c r="AY57" s="8"/>
      <c r="AZ57" s="7"/>
      <c r="BA57" s="7"/>
    </row>
    <row r="58" spans="1:54" x14ac:dyDescent="0.3">
      <c r="I58" s="236"/>
      <c r="J58" s="1"/>
      <c r="S58" s="2" t="s">
        <v>385</v>
      </c>
      <c r="T58" s="5" t="s">
        <v>373</v>
      </c>
      <c r="U58" s="259" t="str">
        <f t="shared" si="69"/>
        <v>18 Pulse Drive</v>
      </c>
      <c r="V58" s="259" t="str">
        <f t="shared" si="68"/>
        <v>5% AC Reactor</v>
      </c>
      <c r="Z58" s="218"/>
      <c r="AC58" s="7"/>
      <c r="AE58" s="2"/>
      <c r="AF58" s="250"/>
      <c r="AG58" s="250"/>
      <c r="AH58" s="250"/>
      <c r="AI58" s="250"/>
      <c r="AJ58" s="250"/>
      <c r="AK58" s="250"/>
      <c r="AL58" s="2"/>
      <c r="AM58" s="2"/>
      <c r="AN58" s="18"/>
      <c r="AO58" s="18"/>
      <c r="AP58" s="18"/>
      <c r="AQ58" s="18"/>
      <c r="AR58" s="18"/>
      <c r="AS58" s="18"/>
      <c r="AT58" s="18"/>
      <c r="AV58" s="2"/>
      <c r="AW58" s="8"/>
      <c r="AX58" s="8"/>
      <c r="AY58" s="8"/>
      <c r="AZ58" s="7"/>
      <c r="BA58" s="7"/>
    </row>
    <row r="59" spans="1:54" x14ac:dyDescent="0.3">
      <c r="O59" s="4" t="s">
        <v>56</v>
      </c>
      <c r="S59" s="2" t="s">
        <v>386</v>
      </c>
      <c r="T59" s="5" t="s">
        <v>373</v>
      </c>
      <c r="U59" s="259" t="str">
        <f t="shared" si="69"/>
        <v>18 Pulse Drive</v>
      </c>
      <c r="V59" s="259" t="str">
        <f t="shared" si="68"/>
        <v>7% AC Reactor</v>
      </c>
      <c r="Z59" s="218"/>
      <c r="AC59" s="7"/>
      <c r="AE59" s="2"/>
      <c r="AF59" s="250"/>
      <c r="AG59" s="250"/>
      <c r="AH59" s="250"/>
      <c r="AI59" s="250"/>
      <c r="AJ59" s="250"/>
      <c r="AK59" s="250"/>
      <c r="AL59" s="2"/>
      <c r="AM59" s="2"/>
      <c r="AN59" s="18"/>
      <c r="AO59" s="18"/>
      <c r="AP59" s="18"/>
      <c r="AQ59" s="18"/>
      <c r="AR59" s="18"/>
      <c r="AS59" s="18"/>
      <c r="AT59" s="18"/>
      <c r="AV59" s="2"/>
      <c r="AW59" s="8"/>
      <c r="AX59" s="8"/>
      <c r="AY59" s="8"/>
      <c r="AZ59" s="7"/>
      <c r="BA59" s="7"/>
    </row>
    <row r="60" spans="1:54" x14ac:dyDescent="0.3">
      <c r="O60" t="s">
        <v>235</v>
      </c>
      <c r="P60" s="452">
        <f>Input!J6</f>
        <v>2000</v>
      </c>
      <c r="S60" s="2" t="s">
        <v>387</v>
      </c>
      <c r="T60" s="5" t="s">
        <v>373</v>
      </c>
      <c r="U60" s="259" t="str">
        <f t="shared" si="69"/>
        <v>18 Pulse Drive</v>
      </c>
      <c r="V60" s="259" t="str">
        <f t="shared" si="68"/>
        <v>10% AC Reactor</v>
      </c>
      <c r="Z60" s="218"/>
      <c r="AC60" s="7"/>
      <c r="AE60" s="2"/>
      <c r="AF60" s="250"/>
      <c r="AG60" s="250"/>
      <c r="AH60" s="250"/>
      <c r="AI60" s="250"/>
      <c r="AJ60" s="250"/>
      <c r="AK60" s="250"/>
      <c r="AL60" s="2"/>
      <c r="AM60" s="2"/>
      <c r="AN60" s="18"/>
      <c r="AO60" s="18"/>
      <c r="AP60" s="18"/>
      <c r="AQ60" s="18"/>
      <c r="AR60" s="18"/>
      <c r="AS60" s="18"/>
      <c r="AT60" s="18"/>
      <c r="AV60" s="2"/>
      <c r="AW60" s="8"/>
      <c r="AX60" s="8"/>
      <c r="AY60" s="8"/>
      <c r="AZ60" s="7"/>
      <c r="BA60" s="7"/>
    </row>
    <row r="61" spans="1:54" x14ac:dyDescent="0.3">
      <c r="O61" t="s">
        <v>949</v>
      </c>
      <c r="P61" s="452">
        <f>Input!J7</f>
        <v>0.8</v>
      </c>
      <c r="S61" s="2" t="s">
        <v>388</v>
      </c>
      <c r="T61" s="5" t="s">
        <v>373</v>
      </c>
      <c r="U61" s="259" t="str">
        <f t="shared" si="69"/>
        <v>18 Pulse Drive</v>
      </c>
      <c r="V61" s="259" t="str">
        <f t="shared" si="68"/>
        <v>7% THDi Passive Filter</v>
      </c>
      <c r="Z61" s="218"/>
      <c r="AC61" s="7"/>
      <c r="AE61" s="2"/>
      <c r="AF61" s="250"/>
      <c r="AG61" s="250"/>
      <c r="AH61" s="250"/>
      <c r="AI61" s="250"/>
      <c r="AJ61" s="250"/>
      <c r="AK61" s="250"/>
      <c r="AL61" s="2"/>
      <c r="AM61" s="2"/>
      <c r="AN61" s="18"/>
      <c r="AO61" s="18"/>
      <c r="AP61" s="18"/>
      <c r="AQ61" s="18"/>
      <c r="AR61" s="18"/>
      <c r="AS61" s="18"/>
      <c r="AT61" s="18"/>
      <c r="AV61" s="2"/>
      <c r="AW61" s="8"/>
      <c r="AX61" s="8"/>
      <c r="AY61" s="8"/>
      <c r="AZ61" s="7"/>
      <c r="BA61" s="7"/>
    </row>
    <row r="62" spans="1:54" x14ac:dyDescent="0.3">
      <c r="O62" t="s">
        <v>237</v>
      </c>
      <c r="P62" s="452">
        <f>Input!J8</f>
        <v>2500</v>
      </c>
      <c r="S62" s="2" t="s">
        <v>389</v>
      </c>
      <c r="T62" s="5" t="s">
        <v>373</v>
      </c>
      <c r="U62" s="259" t="str">
        <f t="shared" si="69"/>
        <v>18 Pulse Drive</v>
      </c>
      <c r="V62" s="259" t="str">
        <f t="shared" si="68"/>
        <v>5% THDi Passive Filter</v>
      </c>
      <c r="Z62" s="218"/>
      <c r="AC62" s="7"/>
      <c r="AE62" s="2"/>
      <c r="AF62" s="250"/>
      <c r="AG62" s="250"/>
      <c r="AH62" s="250"/>
      <c r="AI62" s="250"/>
      <c r="AJ62" s="250"/>
      <c r="AK62" s="250"/>
      <c r="AL62" s="2"/>
      <c r="AM62" s="2"/>
      <c r="AN62" s="18"/>
      <c r="AO62" s="18"/>
      <c r="AP62" s="18"/>
      <c r="AQ62" s="18"/>
      <c r="AR62" s="18"/>
      <c r="AS62" s="18"/>
      <c r="AT62" s="18"/>
      <c r="AV62" s="2"/>
      <c r="AW62" s="8"/>
      <c r="AX62" s="8"/>
      <c r="AY62" s="8"/>
      <c r="AZ62" s="7"/>
      <c r="BA62" s="7"/>
    </row>
    <row r="63" spans="1:54" x14ac:dyDescent="0.3">
      <c r="O63" s="2" t="s">
        <v>238</v>
      </c>
      <c r="P63" s="452">
        <f>Input!J9</f>
        <v>480</v>
      </c>
      <c r="S63" s="2"/>
      <c r="T63" s="5"/>
      <c r="U63" s="259"/>
      <c r="V63" s="259"/>
      <c r="Z63" s="218"/>
      <c r="AC63" s="7"/>
      <c r="AE63" s="2"/>
      <c r="AF63" s="250"/>
      <c r="AG63" s="250"/>
      <c r="AH63" s="250"/>
      <c r="AI63" s="250"/>
      <c r="AJ63" s="250"/>
      <c r="AK63" s="250"/>
      <c r="AL63" s="2"/>
      <c r="AM63" s="2"/>
      <c r="AN63" s="18"/>
      <c r="AO63" s="18"/>
      <c r="AP63" s="18"/>
      <c r="AQ63" s="18"/>
      <c r="AR63" s="18"/>
      <c r="AS63" s="18"/>
      <c r="AT63" s="18"/>
      <c r="AV63" s="2"/>
      <c r="AW63" s="8"/>
      <c r="AX63" s="8"/>
      <c r="AY63" s="8"/>
      <c r="AZ63" s="7"/>
      <c r="BA63" s="7"/>
    </row>
    <row r="64" spans="1:54" x14ac:dyDescent="0.3">
      <c r="O64" t="s">
        <v>950</v>
      </c>
      <c r="P64" s="455">
        <f>Input!J10</f>
        <v>0.2</v>
      </c>
      <c r="S64" s="2"/>
      <c r="T64" s="5"/>
      <c r="U64" s="259"/>
      <c r="V64" s="259"/>
      <c r="Z64" s="218"/>
      <c r="AC64" s="7"/>
      <c r="AE64" s="2"/>
      <c r="AF64" s="250"/>
      <c r="AG64" s="250"/>
      <c r="AH64" s="250"/>
      <c r="AI64" s="250"/>
      <c r="AJ64" s="250"/>
      <c r="AK64" s="250"/>
      <c r="AL64" s="2"/>
      <c r="AM64" s="2"/>
      <c r="AN64" s="18"/>
      <c r="AO64" s="18"/>
      <c r="AP64" s="18"/>
      <c r="AQ64" s="18"/>
      <c r="AR64" s="18"/>
      <c r="AS64" s="18"/>
      <c r="AT64" s="18"/>
      <c r="AV64" s="2"/>
      <c r="AW64" s="8"/>
      <c r="AX64" s="8"/>
      <c r="AY64" s="8"/>
      <c r="AZ64" s="7"/>
      <c r="BA64" s="7"/>
    </row>
    <row r="65" spans="7:54" x14ac:dyDescent="0.3">
      <c r="O65" s="9"/>
      <c r="P65" s="465"/>
      <c r="S65" s="257" t="s">
        <v>354</v>
      </c>
      <c r="T65" s="261"/>
      <c r="U65" s="258" t="str">
        <f>U53</f>
        <v>Drive</v>
      </c>
      <c r="V65" s="258" t="str">
        <f t="shared" ref="V65:BA65" si="70">V53</f>
        <v>Filter</v>
      </c>
      <c r="W65" s="258" t="str">
        <f t="shared" si="70"/>
        <v>Count</v>
      </c>
      <c r="X65" s="258" t="str">
        <f t="shared" si="70"/>
        <v>total rated HP</v>
      </c>
      <c r="Y65" s="258" t="str">
        <f t="shared" si="70"/>
        <v>total actual HP</v>
      </c>
      <c r="Z65" s="258" t="str">
        <f t="shared" si="70"/>
        <v>avg pu load</v>
      </c>
      <c r="AA65" s="258" t="str">
        <f t="shared" si="70"/>
        <v>total ft</v>
      </c>
      <c r="AB65" s="258" t="str">
        <f t="shared" si="70"/>
        <v>avg ft</v>
      </c>
      <c r="AC65" s="258" t="str">
        <f t="shared" si="70"/>
        <v>avg m</v>
      </c>
      <c r="AD65" s="258"/>
      <c r="AE65" s="258"/>
      <c r="AF65" s="258" t="str">
        <f t="shared" si="70"/>
        <v>Pin rated [kW]</v>
      </c>
      <c r="AG65" s="258" t="str">
        <f t="shared" si="70"/>
        <v>Pin actual [kW]</v>
      </c>
      <c r="AH65" s="258" t="str">
        <f t="shared" si="70"/>
        <v>PF disp</v>
      </c>
      <c r="AI65" s="258" t="str">
        <f t="shared" si="70"/>
        <v>Qin [kVAR]</v>
      </c>
      <c r="AJ65" s="258" t="str">
        <f t="shared" si="70"/>
        <v>Din [kVAD]</v>
      </c>
      <c r="AK65" s="258" t="str">
        <f t="shared" si="70"/>
        <v>Sin [kVA]</v>
      </c>
      <c r="AL65" s="258"/>
      <c r="AM65" s="258"/>
      <c r="AN65" s="258" t="str">
        <f t="shared" si="70"/>
        <v>Ireal rated [A]</v>
      </c>
      <c r="AO65" s="258" t="str">
        <f t="shared" si="70"/>
        <v>Ireal actual [A]</v>
      </c>
      <c r="AP65" s="258" t="str">
        <f t="shared" si="70"/>
        <v>Ireact [A]</v>
      </c>
      <c r="AQ65" s="258" t="str">
        <f t="shared" si="70"/>
        <v>Iharm [A]</v>
      </c>
      <c r="AR65" s="258" t="str">
        <f t="shared" si="70"/>
        <v>Ifund [A]</v>
      </c>
      <c r="AS65" s="258" t="str">
        <f t="shared" si="70"/>
        <v>Itotal [A]</v>
      </c>
      <c r="AT65" s="258" t="str">
        <f t="shared" si="70"/>
        <v>Ithd [%]</v>
      </c>
      <c r="AU65" s="258"/>
      <c r="AV65" s="258"/>
      <c r="AW65" s="258" t="str">
        <f t="shared" si="70"/>
        <v>X source [uH]</v>
      </c>
      <c r="AX65" s="258" t="str">
        <f t="shared" si="70"/>
        <v>X cable [uH]</v>
      </c>
      <c r="AY65" s="258" t="str">
        <f t="shared" si="70"/>
        <v>x total [uH]</v>
      </c>
      <c r="AZ65" s="258" t="str">
        <f t="shared" si="70"/>
        <v>Isc</v>
      </c>
      <c r="BA65" s="258" t="str">
        <f t="shared" si="70"/>
        <v>Isc / Ifund</v>
      </c>
      <c r="BB65" s="258" t="s">
        <v>1</v>
      </c>
    </row>
    <row r="66" spans="7:54" x14ac:dyDescent="0.3">
      <c r="S66" s="2" t="s">
        <v>298</v>
      </c>
      <c r="T66" s="5"/>
      <c r="U66" s="259" t="str">
        <f>M11</f>
        <v>ULH (AFE) Drive</v>
      </c>
      <c r="V66" s="259" t="str">
        <f t="shared" ref="V66:V74" si="71">O6</f>
        <v>none</v>
      </c>
      <c r="W66" s="1">
        <f>COUNTIF(G$6:G$55,S66)</f>
        <v>0</v>
      </c>
      <c r="X66" s="1">
        <f>SUMIF(G$6:G$55,S66,H$6:H$55)</f>
        <v>0</v>
      </c>
      <c r="Y66" s="1">
        <f>SUMIF(G$6:G$55,S66,J$6:J$55)</f>
        <v>0</v>
      </c>
      <c r="Z66" s="218">
        <f t="shared" si="26"/>
        <v>0</v>
      </c>
      <c r="AA66" s="1">
        <f>SUMIF(G$6:G$55,S66,K$6:K$55)</f>
        <v>0</v>
      </c>
      <c r="AB66" s="219">
        <f t="shared" si="19"/>
        <v>0</v>
      </c>
      <c r="AC66" s="7">
        <f t="shared" si="20"/>
        <v>0</v>
      </c>
      <c r="AE66" s="2" t="s">
        <v>298</v>
      </c>
      <c r="AF66" s="250">
        <f>X66*0.746/Instructions!E$194/Instructions!E$195</f>
        <v>0</v>
      </c>
      <c r="AG66" s="250">
        <f>Y66*0.746/Instructions!E$194/Instructions!E$195</f>
        <v>0</v>
      </c>
      <c r="AH66" s="250">
        <v>0.995</v>
      </c>
      <c r="AI66" s="250">
        <f t="shared" si="33"/>
        <v>0</v>
      </c>
      <c r="AJ66" s="250">
        <f>SQRT(3)*P$21*AQ66/1000</f>
        <v>0</v>
      </c>
      <c r="AK66" s="250">
        <f>SQRT(SUMSQ(AG66,AI66,AJ66))</f>
        <v>0</v>
      </c>
      <c r="AL66" s="2"/>
      <c r="AM66" s="2" t="s">
        <v>298</v>
      </c>
      <c r="AN66" s="18">
        <f>1000*AF66/(SQRT(3)*P$21)</f>
        <v>0</v>
      </c>
      <c r="AO66" s="18">
        <f>1000*AG66/(SQRT(3)*P$21)</f>
        <v>0</v>
      </c>
      <c r="AP66" s="18">
        <f>1000*AI66/(SQRT(3)*P$21)</f>
        <v>0</v>
      </c>
      <c r="AQ66" s="280">
        <f>Sum!AE107</f>
        <v>0</v>
      </c>
      <c r="AR66" s="18">
        <f t="shared" si="23"/>
        <v>0</v>
      </c>
      <c r="AS66" s="18">
        <f>SQRT(SUMSQ(AQ66,AR66))</f>
        <v>0</v>
      </c>
      <c r="AT66" s="18">
        <f>IF(AR66=0,0,100*AQ66/AR66)</f>
        <v>0</v>
      </c>
      <c r="AV66" s="2" t="s">
        <v>298</v>
      </c>
      <c r="AW66" s="8">
        <f>P$23</f>
        <v>19.098593171027439</v>
      </c>
      <c r="AX66" s="8">
        <f>AC66*Instructions!E$197</f>
        <v>0</v>
      </c>
      <c r="AY66" s="8">
        <f t="shared" si="24"/>
        <v>19.098593171027439</v>
      </c>
      <c r="AZ66" s="7">
        <f>IF(AR66=0,1000*P$22,(P$21/(SQRT(3)*2*PI()*P$20*AY66/1000000)))</f>
        <v>38490.017945975058</v>
      </c>
      <c r="BA66" s="7">
        <f>IF(AR66=0,1000*P$22,AZ66/AR66)</f>
        <v>38490.017945975058</v>
      </c>
      <c r="BB66" s="314">
        <f>'F01'!F1</f>
        <v>0.1</v>
      </c>
    </row>
    <row r="67" spans="7:54" x14ac:dyDescent="0.3">
      <c r="G67" s="1" t="s">
        <v>1001</v>
      </c>
      <c r="M67" s="4" t="s">
        <v>647</v>
      </c>
      <c r="S67" s="2" t="s">
        <v>390</v>
      </c>
      <c r="T67" s="5" t="s">
        <v>373</v>
      </c>
      <c r="U67" s="259" t="str">
        <f>U66</f>
        <v>ULH (AFE) Drive</v>
      </c>
      <c r="V67" s="259" t="str">
        <f t="shared" si="71"/>
        <v>1.5% AC Reactor</v>
      </c>
      <c r="W67" s="5"/>
      <c r="Z67" s="218"/>
      <c r="AC67" s="7"/>
      <c r="AE67" s="2"/>
      <c r="AF67" s="250"/>
      <c r="AG67" s="250"/>
      <c r="AH67" s="250"/>
      <c r="AI67" s="250"/>
      <c r="AJ67" s="250"/>
      <c r="AK67" s="250"/>
      <c r="AL67" s="2"/>
      <c r="AM67" s="2"/>
      <c r="AN67" s="18"/>
      <c r="AO67" s="18"/>
      <c r="AP67" s="18"/>
      <c r="AQ67" s="18"/>
      <c r="AR67" s="18"/>
      <c r="AS67" s="18"/>
      <c r="AT67" s="18"/>
      <c r="AV67" s="2"/>
      <c r="AW67" s="8"/>
      <c r="AX67" s="8"/>
      <c r="AY67" s="8"/>
      <c r="AZ67" s="7"/>
      <c r="BA67" s="7"/>
    </row>
    <row r="68" spans="7:54" x14ac:dyDescent="0.3">
      <c r="G68" s="215" t="s">
        <v>1005</v>
      </c>
      <c r="L68">
        <v>1</v>
      </c>
      <c r="M68" s="416" t="str">
        <f>IF(M69="", IF(M70="", IF(M71="", IF(M72="","No power limits exceeded",""),""),""),"")</f>
        <v>No power limits exceeded</v>
      </c>
      <c r="S68" s="2" t="s">
        <v>391</v>
      </c>
      <c r="T68" s="5" t="s">
        <v>373</v>
      </c>
      <c r="U68" s="259" t="str">
        <f t="shared" ref="U68:U74" si="72">U67</f>
        <v>ULH (AFE) Drive</v>
      </c>
      <c r="V68" s="259" t="str">
        <f t="shared" si="71"/>
        <v>2.5% AC Reactor</v>
      </c>
      <c r="W68" s="5"/>
      <c r="Z68" s="218"/>
      <c r="AC68" s="7"/>
      <c r="AE68" s="2"/>
      <c r="AF68" s="250"/>
      <c r="AG68" s="250"/>
      <c r="AH68" s="250"/>
      <c r="AI68" s="250"/>
      <c r="AJ68" s="250"/>
      <c r="AK68" s="250"/>
      <c r="AL68" s="2"/>
      <c r="AM68" s="2"/>
      <c r="AN68" s="18"/>
      <c r="AO68" s="18"/>
      <c r="AP68" s="18"/>
      <c r="AQ68" s="18"/>
      <c r="AR68" s="18"/>
      <c r="AS68" s="18"/>
      <c r="AT68" s="18"/>
      <c r="AV68" s="2"/>
      <c r="AW68" s="8"/>
      <c r="AX68" s="8"/>
      <c r="AY68" s="8"/>
      <c r="AZ68" s="7"/>
      <c r="BA68" s="7"/>
    </row>
    <row r="69" spans="7:54" x14ac:dyDescent="0.3">
      <c r="G69" s="215" t="s">
        <v>994</v>
      </c>
      <c r="L69">
        <v>2</v>
      </c>
      <c r="M69" s="338" t="str">
        <f>IF(N19="UTILITY",IF(Power!K54=0,"",IF(Power!T19&gt;Power!K54,"Total kVA load exceeds the MAX % kVA loading!","")),"")</f>
        <v/>
      </c>
      <c r="S69" s="2" t="s">
        <v>392</v>
      </c>
      <c r="T69" s="5" t="s">
        <v>373</v>
      </c>
      <c r="U69" s="259" t="str">
        <f t="shared" si="72"/>
        <v>ULH (AFE) Drive</v>
      </c>
      <c r="V69" s="259" t="str">
        <f t="shared" si="71"/>
        <v>3% AC Reactor</v>
      </c>
      <c r="W69" s="5"/>
      <c r="Z69" s="218"/>
      <c r="AC69" s="7"/>
      <c r="AE69" s="2"/>
      <c r="AF69" s="250"/>
      <c r="AG69" s="250"/>
      <c r="AH69" s="250"/>
      <c r="AI69" s="250"/>
      <c r="AJ69" s="250"/>
      <c r="AK69" s="250"/>
      <c r="AL69" s="2"/>
      <c r="AM69" s="2"/>
      <c r="AN69" s="18"/>
      <c r="AO69" s="18"/>
      <c r="AP69" s="18"/>
      <c r="AQ69" s="18"/>
      <c r="AR69" s="18"/>
      <c r="AS69" s="18"/>
      <c r="AT69" s="18"/>
      <c r="AV69" s="2"/>
      <c r="AW69" s="8"/>
      <c r="AX69" s="8"/>
      <c r="AY69" s="8"/>
      <c r="AZ69" s="7"/>
      <c r="BA69" s="7"/>
    </row>
    <row r="70" spans="7:54" x14ac:dyDescent="0.3">
      <c r="G70" s="215" t="s">
        <v>995</v>
      </c>
      <c r="L70">
        <v>3</v>
      </c>
      <c r="M70" s="338" t="str">
        <f>IF(N19="UTILITY",IF(Power!T19&gt;P47,"Total kVA load exceeds the Transformer kVA rating!",""),"")</f>
        <v/>
      </c>
      <c r="S70" s="2" t="s">
        <v>393</v>
      </c>
      <c r="T70" s="5" t="s">
        <v>373</v>
      </c>
      <c r="U70" s="259" t="str">
        <f t="shared" si="72"/>
        <v>ULH (AFE) Drive</v>
      </c>
      <c r="V70" s="259" t="str">
        <f t="shared" si="71"/>
        <v>5% AC Reactor</v>
      </c>
      <c r="W70" s="5"/>
      <c r="Z70" s="218"/>
      <c r="AC70" s="7"/>
      <c r="AE70" s="2"/>
      <c r="AF70" s="250"/>
      <c r="AG70" s="250"/>
      <c r="AH70" s="250"/>
      <c r="AI70" s="250"/>
      <c r="AJ70" s="250"/>
      <c r="AK70" s="250"/>
      <c r="AL70" s="2"/>
      <c r="AM70" s="2"/>
      <c r="AN70" s="18"/>
      <c r="AO70" s="18"/>
      <c r="AP70" s="18"/>
      <c r="AQ70" s="18"/>
      <c r="AR70" s="18"/>
      <c r="AS70" s="18"/>
      <c r="AT70" s="18"/>
      <c r="AV70" s="2"/>
      <c r="AW70" s="8"/>
      <c r="AX70" s="8"/>
      <c r="AY70" s="8"/>
      <c r="AZ70" s="7"/>
      <c r="BA70" s="7"/>
    </row>
    <row r="71" spans="7:54" x14ac:dyDescent="0.3">
      <c r="G71" s="215" t="s">
        <v>998</v>
      </c>
      <c r="L71">
        <v>4</v>
      </c>
      <c r="M71" s="338" t="str">
        <f>IF(N19="GENERATOR",IF(Power!K54=0,"",IF(Power!T16&gt;Power!K54,"Total kW load exceeds the MAX % kW loading!","")),"")</f>
        <v/>
      </c>
      <c r="S71" s="2" t="s">
        <v>394</v>
      </c>
      <c r="T71" s="5" t="s">
        <v>373</v>
      </c>
      <c r="U71" s="259" t="str">
        <f t="shared" si="72"/>
        <v>ULH (AFE) Drive</v>
      </c>
      <c r="V71" s="259" t="str">
        <f t="shared" si="71"/>
        <v>7% AC Reactor</v>
      </c>
      <c r="W71" s="5"/>
      <c r="Z71" s="218"/>
      <c r="AC71" s="7"/>
      <c r="AE71" s="2"/>
      <c r="AF71" s="250"/>
      <c r="AG71" s="250"/>
      <c r="AH71" s="250"/>
      <c r="AI71" s="250"/>
      <c r="AJ71" s="250"/>
      <c r="AK71" s="250"/>
      <c r="AL71" s="2"/>
      <c r="AM71" s="2"/>
      <c r="AN71" s="18"/>
      <c r="AO71" s="18"/>
      <c r="AP71" s="18"/>
      <c r="AQ71" s="18"/>
      <c r="AR71" s="18"/>
      <c r="AS71" s="18"/>
      <c r="AT71" s="18"/>
      <c r="AV71" s="2"/>
      <c r="AW71" s="8"/>
      <c r="AX71" s="8"/>
      <c r="AY71" s="8"/>
      <c r="AZ71" s="7"/>
      <c r="BA71" s="7"/>
    </row>
    <row r="72" spans="7:54" x14ac:dyDescent="0.3">
      <c r="G72" s="215" t="s">
        <v>997</v>
      </c>
      <c r="L72">
        <v>5</v>
      </c>
      <c r="M72" s="338" t="str">
        <f>IF(N19="GENERATOR",IF(Power!T16&gt;P60,"Total kW load exceeds the Generator kW rating!",""),"")</f>
        <v/>
      </c>
      <c r="S72" s="2" t="s">
        <v>395</v>
      </c>
      <c r="T72" s="5" t="s">
        <v>373</v>
      </c>
      <c r="U72" s="259" t="str">
        <f t="shared" si="72"/>
        <v>ULH (AFE) Drive</v>
      </c>
      <c r="V72" s="259" t="str">
        <f t="shared" si="71"/>
        <v>10% AC Reactor</v>
      </c>
      <c r="W72" s="5"/>
      <c r="Z72" s="218"/>
      <c r="AC72" s="7"/>
      <c r="AE72" s="2"/>
      <c r="AF72" s="250"/>
      <c r="AG72" s="250"/>
      <c r="AH72" s="250"/>
      <c r="AI72" s="250"/>
      <c r="AJ72" s="250"/>
      <c r="AK72" s="250"/>
      <c r="AL72" s="2"/>
      <c r="AM72" s="2"/>
      <c r="AN72" s="18"/>
      <c r="AO72" s="18"/>
      <c r="AP72" s="18"/>
      <c r="AQ72" s="18"/>
      <c r="AR72" s="18"/>
      <c r="AS72" s="18"/>
      <c r="AT72" s="18"/>
      <c r="AV72" s="2"/>
      <c r="AW72" s="8"/>
      <c r="AX72" s="8"/>
      <c r="AY72" s="8"/>
      <c r="AZ72" s="7"/>
      <c r="BA72" s="7"/>
    </row>
    <row r="73" spans="7:54" x14ac:dyDescent="0.3">
      <c r="G73" s="215" t="s">
        <v>996</v>
      </c>
      <c r="L73">
        <v>6</v>
      </c>
      <c r="M73" s="338" t="str">
        <f>IF(N19="GENERATOR",IF(Power!T19&gt;P62,"Total kVA load exceeds the Generator kVA rating!",""),"")</f>
        <v/>
      </c>
      <c r="S73" s="2" t="s">
        <v>396</v>
      </c>
      <c r="T73" s="5" t="s">
        <v>373</v>
      </c>
      <c r="U73" s="259" t="str">
        <f t="shared" si="72"/>
        <v>ULH (AFE) Drive</v>
      </c>
      <c r="V73" s="259" t="str">
        <f t="shared" si="71"/>
        <v>7% THDi Passive Filter</v>
      </c>
      <c r="W73" s="5"/>
      <c r="Z73" s="218"/>
      <c r="AC73" s="7"/>
      <c r="AE73" s="2"/>
      <c r="AF73" s="250"/>
      <c r="AG73" s="250"/>
      <c r="AH73" s="250"/>
      <c r="AI73" s="250"/>
      <c r="AJ73" s="250"/>
      <c r="AK73" s="250"/>
      <c r="AL73" s="2"/>
      <c r="AM73" s="2"/>
      <c r="AN73" s="18"/>
      <c r="AO73" s="18"/>
      <c r="AP73" s="18"/>
      <c r="AQ73" s="18"/>
      <c r="AR73" s="18"/>
      <c r="AS73" s="18"/>
      <c r="AT73" s="18"/>
      <c r="AV73" s="2"/>
      <c r="AW73" s="8"/>
      <c r="AX73" s="8"/>
      <c r="AY73" s="8"/>
      <c r="AZ73" s="7"/>
      <c r="BA73" s="7"/>
    </row>
    <row r="74" spans="7:54" x14ac:dyDescent="0.3">
      <c r="S74" s="2" t="s">
        <v>397</v>
      </c>
      <c r="T74" s="5" t="s">
        <v>373</v>
      </c>
      <c r="U74" s="259" t="str">
        <f t="shared" si="72"/>
        <v>ULH (AFE) Drive</v>
      </c>
      <c r="V74" s="259" t="str">
        <f t="shared" si="71"/>
        <v>5% THDi Passive Filter</v>
      </c>
      <c r="W74" s="5"/>
      <c r="Z74" s="218"/>
      <c r="AC74" s="7"/>
      <c r="AE74" s="2"/>
      <c r="AF74" s="250"/>
      <c r="AG74" s="250"/>
      <c r="AH74" s="250"/>
      <c r="AI74" s="250"/>
      <c r="AJ74" s="250"/>
      <c r="AK74" s="250"/>
      <c r="AL74" s="2"/>
      <c r="AM74" s="2"/>
      <c r="AN74" s="18"/>
      <c r="AO74" s="18"/>
      <c r="AP74" s="18"/>
      <c r="AQ74" s="18"/>
      <c r="AR74" s="18"/>
      <c r="AS74" s="18"/>
      <c r="AT74" s="18"/>
      <c r="AV74" s="2"/>
      <c r="AW74" s="8"/>
      <c r="AX74" s="8"/>
      <c r="AY74" s="8"/>
      <c r="AZ74" s="7"/>
      <c r="BA74" s="7"/>
    </row>
    <row r="75" spans="7:54" x14ac:dyDescent="0.3">
      <c r="S75" s="2"/>
      <c r="T75" s="5"/>
      <c r="U75" s="259"/>
      <c r="V75" s="259"/>
      <c r="W75" s="5"/>
      <c r="Z75" s="218"/>
      <c r="AC75" s="7"/>
      <c r="AE75" s="2"/>
      <c r="AF75" s="250"/>
      <c r="AG75" s="250"/>
      <c r="AH75" s="250"/>
      <c r="AI75" s="250"/>
      <c r="AJ75" s="250"/>
      <c r="AK75" s="250"/>
      <c r="AL75" s="2"/>
      <c r="AM75" s="2"/>
      <c r="AN75" s="18"/>
      <c r="AO75" s="18"/>
      <c r="AP75" s="18"/>
      <c r="AQ75" s="18"/>
      <c r="AR75" s="18"/>
      <c r="AS75" s="18"/>
      <c r="AT75" s="18"/>
      <c r="AV75" s="2"/>
      <c r="AW75" s="8"/>
      <c r="AX75" s="8"/>
      <c r="AY75" s="8"/>
      <c r="AZ75" s="7"/>
      <c r="BA75" s="7"/>
    </row>
    <row r="76" spans="7:54" x14ac:dyDescent="0.3">
      <c r="S76" s="2"/>
      <c r="T76" s="5"/>
      <c r="U76" s="259"/>
      <c r="V76" s="259"/>
      <c r="W76" s="5"/>
      <c r="Z76" s="218"/>
      <c r="AC76" s="7"/>
      <c r="AE76" s="2"/>
      <c r="AF76" s="250"/>
      <c r="AG76" s="250"/>
      <c r="AH76" s="250"/>
      <c r="AI76" s="250"/>
      <c r="AJ76" s="250"/>
      <c r="AK76" s="250"/>
      <c r="AL76" s="2"/>
      <c r="AM76" s="2"/>
      <c r="AN76" s="18"/>
      <c r="AO76" s="18"/>
      <c r="AP76" s="18"/>
      <c r="AQ76" s="18"/>
      <c r="AR76" s="18"/>
      <c r="AS76" s="18"/>
      <c r="AT76" s="18"/>
      <c r="AV76" s="2"/>
      <c r="AW76" s="8"/>
      <c r="AX76" s="8"/>
      <c r="AY76" s="8"/>
      <c r="AZ76" s="7"/>
      <c r="BA76" s="7"/>
    </row>
    <row r="77" spans="7:54" x14ac:dyDescent="0.3">
      <c r="S77" s="257"/>
      <c r="T77" s="261"/>
      <c r="U77" s="258" t="str">
        <f>U65</f>
        <v>Drive</v>
      </c>
      <c r="V77" s="258" t="str">
        <f t="shared" ref="V77:BA77" si="73">V65</f>
        <v>Filter</v>
      </c>
      <c r="W77" s="258" t="str">
        <f t="shared" si="73"/>
        <v>Count</v>
      </c>
      <c r="X77" s="258" t="str">
        <f t="shared" si="73"/>
        <v>total rated HP</v>
      </c>
      <c r="Y77" s="258" t="str">
        <f t="shared" si="73"/>
        <v>total actual HP</v>
      </c>
      <c r="Z77" s="258" t="str">
        <f t="shared" si="73"/>
        <v>avg pu load</v>
      </c>
      <c r="AA77" s="258" t="str">
        <f t="shared" si="73"/>
        <v>total ft</v>
      </c>
      <c r="AB77" s="258" t="str">
        <f t="shared" si="73"/>
        <v>avg ft</v>
      </c>
      <c r="AC77" s="258" t="str">
        <f t="shared" si="73"/>
        <v>avg m</v>
      </c>
      <c r="AD77" s="258"/>
      <c r="AE77" s="258"/>
      <c r="AF77" s="258" t="str">
        <f t="shared" si="73"/>
        <v>Pin rated [kW]</v>
      </c>
      <c r="AG77" s="258" t="str">
        <f t="shared" si="73"/>
        <v>Pin actual [kW]</v>
      </c>
      <c r="AH77" s="258" t="str">
        <f t="shared" si="73"/>
        <v>PF disp</v>
      </c>
      <c r="AI77" s="258" t="str">
        <f t="shared" si="73"/>
        <v>Qin [kVAR]</v>
      </c>
      <c r="AJ77" s="258" t="str">
        <f t="shared" si="73"/>
        <v>Din [kVAD]</v>
      </c>
      <c r="AK77" s="258" t="str">
        <f t="shared" si="73"/>
        <v>Sin [kVA]</v>
      </c>
      <c r="AL77" s="258"/>
      <c r="AM77" s="258"/>
      <c r="AN77" s="258" t="str">
        <f t="shared" si="73"/>
        <v>Ireal rated [A]</v>
      </c>
      <c r="AO77" s="258" t="str">
        <f t="shared" si="73"/>
        <v>Ireal actual [A]</v>
      </c>
      <c r="AP77" s="258" t="str">
        <f t="shared" si="73"/>
        <v>Ireact [A]</v>
      </c>
      <c r="AQ77" s="258" t="str">
        <f t="shared" si="73"/>
        <v>Iharm [A]</v>
      </c>
      <c r="AR77" s="258" t="str">
        <f t="shared" si="73"/>
        <v>Ifund [A]</v>
      </c>
      <c r="AS77" s="258" t="str">
        <f t="shared" si="73"/>
        <v>Itotal [A]</v>
      </c>
      <c r="AT77" s="258" t="str">
        <f t="shared" si="73"/>
        <v>Ithd [%]</v>
      </c>
      <c r="AU77" s="258"/>
      <c r="AV77" s="258"/>
      <c r="AW77" s="258" t="str">
        <f t="shared" si="73"/>
        <v>X source [uH]</v>
      </c>
      <c r="AX77" s="258" t="str">
        <f t="shared" si="73"/>
        <v>X cable [uH]</v>
      </c>
      <c r="AY77" s="258" t="str">
        <f t="shared" si="73"/>
        <v>x total [uH]</v>
      </c>
      <c r="AZ77" s="258" t="str">
        <f t="shared" si="73"/>
        <v>Isc</v>
      </c>
      <c r="BA77" s="258" t="str">
        <f t="shared" si="73"/>
        <v>Isc / Ifund</v>
      </c>
      <c r="BB77" s="258" t="s">
        <v>1</v>
      </c>
    </row>
    <row r="78" spans="7:54" x14ac:dyDescent="0.3">
      <c r="S78" s="2" t="s">
        <v>299</v>
      </c>
      <c r="T78" s="5"/>
      <c r="U78" s="259" t="str">
        <f>M12</f>
        <v>Custom System</v>
      </c>
      <c r="V78" s="259" t="str">
        <f>O6</f>
        <v>none</v>
      </c>
      <c r="W78" s="1">
        <f>COUNTIF(G$6:G$55,S78)</f>
        <v>0</v>
      </c>
      <c r="X78" s="1">
        <f>SUMIF(G$6:G$55,S78,H$6:H$55)</f>
        <v>0</v>
      </c>
      <c r="Y78" s="1">
        <f>SUMIF(G$6:G$55,S78,J$6:J$55)</f>
        <v>0</v>
      </c>
      <c r="Z78" s="218">
        <f t="shared" ref="Z78" si="74">IF(X78=0,0,Y78/X78)</f>
        <v>0</v>
      </c>
      <c r="AA78" s="1">
        <f>SUMIF(G$6:G$55,S78,K$6:K$55)</f>
        <v>0</v>
      </c>
      <c r="AB78" s="219">
        <f t="shared" ref="AB78" si="75">IF(W78=0,0,AA78/W78)</f>
        <v>0</v>
      </c>
      <c r="AC78" s="7">
        <f t="shared" ref="AC78" si="76">AB78/3.28</f>
        <v>0</v>
      </c>
      <c r="AE78" s="2" t="s">
        <v>299</v>
      </c>
      <c r="AF78" s="250">
        <f>'G01'!K11</f>
        <v>0</v>
      </c>
      <c r="AG78" s="250">
        <f>'G01'!L11</f>
        <v>0</v>
      </c>
      <c r="AH78" s="250">
        <v>0.97</v>
      </c>
      <c r="AI78" s="250">
        <f>'G01'!N11</f>
        <v>0</v>
      </c>
      <c r="AJ78" s="250">
        <f>'G01'!O11</f>
        <v>0</v>
      </c>
      <c r="AK78" s="250">
        <f>'G01'!P11</f>
        <v>0</v>
      </c>
      <c r="AL78" s="250"/>
      <c r="AM78" s="250" t="s">
        <v>299</v>
      </c>
      <c r="AN78" s="250">
        <f>'G01'!S11</f>
        <v>0</v>
      </c>
      <c r="AO78" s="250">
        <f>'G01'!T11</f>
        <v>0</v>
      </c>
      <c r="AP78" s="250">
        <f>'G01'!U11</f>
        <v>0</v>
      </c>
      <c r="AQ78" s="250">
        <f>'G01'!V11</f>
        <v>0</v>
      </c>
      <c r="AR78" s="250">
        <f>'G01'!W11</f>
        <v>0</v>
      </c>
      <c r="AS78" s="250">
        <f>'G01'!X11</f>
        <v>0</v>
      </c>
      <c r="AT78" s="250">
        <f>'G01'!Y11</f>
        <v>0</v>
      </c>
      <c r="AV78" s="2" t="s">
        <v>299</v>
      </c>
      <c r="AW78" s="8">
        <f>P$23</f>
        <v>19.098593171027439</v>
      </c>
      <c r="AX78" s="8">
        <f>AC78*Instructions!E$197</f>
        <v>0</v>
      </c>
      <c r="AY78" s="8">
        <f t="shared" ref="AY78" si="77">SUM(AW78:AX78)</f>
        <v>19.098593171027439</v>
      </c>
      <c r="AZ78" s="7">
        <f>IF(AR78=0,1000*P$22,(P$21/(SQRT(3)*2*PI()*P$20*AY78/1000000)))</f>
        <v>38490.017945975058</v>
      </c>
      <c r="BA78" s="7">
        <f>IF(AR78=0,1000*P$22,AZ78/AR78)</f>
        <v>38490.017945975058</v>
      </c>
    </row>
    <row r="79" spans="7:54" x14ac:dyDescent="0.3">
      <c r="S79" s="2" t="s">
        <v>669</v>
      </c>
      <c r="T79" s="5" t="s">
        <v>373</v>
      </c>
      <c r="U79" s="259" t="str">
        <f>U78</f>
        <v>Custom System</v>
      </c>
      <c r="V79" s="259" t="str">
        <f t="shared" ref="V79:V86" si="78">O7</f>
        <v>1.5% AC Reactor</v>
      </c>
      <c r="W79" s="5"/>
      <c r="Z79" s="218"/>
      <c r="AC79" s="7"/>
      <c r="AE79" s="2"/>
      <c r="AF79" s="250"/>
      <c r="AG79" s="250"/>
      <c r="AH79" s="250"/>
      <c r="AI79" s="250"/>
      <c r="AJ79" s="250"/>
      <c r="AK79" s="250"/>
      <c r="AL79" s="2"/>
      <c r="AM79" s="2"/>
      <c r="AN79" s="18"/>
      <c r="AO79" s="18"/>
      <c r="AP79" s="18"/>
      <c r="AQ79" s="18"/>
      <c r="AR79" s="18"/>
      <c r="AS79" s="18"/>
      <c r="AT79" s="18"/>
      <c r="AV79" s="2"/>
      <c r="AW79" s="8"/>
      <c r="AX79" s="8"/>
      <c r="AY79" s="8"/>
      <c r="AZ79" s="7"/>
      <c r="BA79" s="7"/>
    </row>
    <row r="80" spans="7:54" x14ac:dyDescent="0.3">
      <c r="S80" s="2" t="s">
        <v>670</v>
      </c>
      <c r="T80" s="5" t="s">
        <v>373</v>
      </c>
      <c r="U80" s="259" t="str">
        <f t="shared" ref="U80:U86" si="79">U79</f>
        <v>Custom System</v>
      </c>
      <c r="V80" s="259" t="str">
        <f t="shared" si="78"/>
        <v>2.5% AC Reactor</v>
      </c>
      <c r="W80" s="5"/>
      <c r="Z80" s="218"/>
      <c r="AC80" s="7"/>
      <c r="AE80" s="2"/>
      <c r="AF80" s="250"/>
      <c r="AG80" s="250"/>
      <c r="AH80" s="250"/>
      <c r="AI80" s="250"/>
      <c r="AJ80" s="250"/>
      <c r="AK80" s="250"/>
      <c r="AL80" s="2"/>
      <c r="AM80" s="2"/>
      <c r="AN80" s="18"/>
      <c r="AO80" s="18"/>
      <c r="AP80" s="18"/>
      <c r="AQ80" s="18"/>
      <c r="AR80" s="18"/>
      <c r="AS80" s="18"/>
      <c r="AT80" s="18"/>
      <c r="AV80" s="2"/>
      <c r="AW80" s="8"/>
      <c r="AX80" s="8"/>
      <c r="AY80" s="8"/>
      <c r="AZ80" s="7"/>
      <c r="BA80" s="7"/>
    </row>
    <row r="81" spans="19:53" x14ac:dyDescent="0.3">
      <c r="S81" s="2" t="s">
        <v>671</v>
      </c>
      <c r="T81" s="5" t="s">
        <v>373</v>
      </c>
      <c r="U81" s="259" t="str">
        <f t="shared" si="79"/>
        <v>Custom System</v>
      </c>
      <c r="V81" s="259" t="str">
        <f t="shared" si="78"/>
        <v>3% AC Reactor</v>
      </c>
      <c r="W81" s="5"/>
      <c r="Z81" s="218"/>
      <c r="AC81" s="7"/>
      <c r="AE81" s="2"/>
      <c r="AF81" s="250"/>
      <c r="AG81" s="250"/>
      <c r="AH81" s="250"/>
      <c r="AI81" s="250"/>
      <c r="AJ81" s="250"/>
      <c r="AK81" s="250"/>
      <c r="AL81" s="2"/>
      <c r="AM81" s="2"/>
      <c r="AN81" s="18"/>
      <c r="AO81" s="18"/>
      <c r="AP81" s="18"/>
      <c r="AQ81" s="18"/>
      <c r="AR81" s="18"/>
      <c r="AS81" s="18"/>
      <c r="AT81" s="18"/>
      <c r="AV81" s="2"/>
      <c r="AW81" s="8"/>
      <c r="AX81" s="8"/>
      <c r="AY81" s="8"/>
      <c r="AZ81" s="7"/>
      <c r="BA81" s="7"/>
    </row>
    <row r="82" spans="19:53" x14ac:dyDescent="0.3">
      <c r="S82" s="2" t="s">
        <v>672</v>
      </c>
      <c r="T82" s="5" t="s">
        <v>373</v>
      </c>
      <c r="U82" s="259" t="str">
        <f t="shared" si="79"/>
        <v>Custom System</v>
      </c>
      <c r="V82" s="259" t="str">
        <f t="shared" si="78"/>
        <v>5% AC Reactor</v>
      </c>
      <c r="W82" s="5"/>
      <c r="Z82" s="218"/>
      <c r="AC82" s="7"/>
      <c r="AE82" s="2"/>
      <c r="AF82" s="250"/>
      <c r="AG82" s="250"/>
      <c r="AH82" s="250"/>
      <c r="AI82" s="250"/>
      <c r="AJ82" s="250"/>
      <c r="AK82" s="250"/>
      <c r="AL82" s="2"/>
      <c r="AM82" s="2"/>
      <c r="AN82" s="18"/>
      <c r="AO82" s="18"/>
      <c r="AP82" s="18"/>
      <c r="AQ82" s="18"/>
      <c r="AR82" s="18"/>
      <c r="AS82" s="18"/>
      <c r="AT82" s="18"/>
      <c r="AV82" s="2"/>
      <c r="AW82" s="8"/>
      <c r="AX82" s="8"/>
      <c r="AY82" s="8"/>
      <c r="AZ82" s="7"/>
      <c r="BA82" s="7"/>
    </row>
    <row r="83" spans="19:53" x14ac:dyDescent="0.3">
      <c r="S83" s="2" t="s">
        <v>673</v>
      </c>
      <c r="T83" s="5" t="s">
        <v>373</v>
      </c>
      <c r="U83" s="259" t="str">
        <f t="shared" si="79"/>
        <v>Custom System</v>
      </c>
      <c r="V83" s="259" t="str">
        <f t="shared" si="78"/>
        <v>7% AC Reactor</v>
      </c>
      <c r="W83" s="5"/>
      <c r="Z83" s="218"/>
      <c r="AC83" s="7"/>
      <c r="AE83" s="2"/>
      <c r="AF83" s="250"/>
      <c r="AG83" s="250"/>
      <c r="AH83" s="250"/>
      <c r="AI83" s="250"/>
      <c r="AJ83" s="250"/>
      <c r="AK83" s="250"/>
      <c r="AL83" s="2"/>
      <c r="AM83" s="2"/>
      <c r="AN83" s="18"/>
      <c r="AO83" s="18"/>
      <c r="AP83" s="18"/>
      <c r="AQ83" s="18"/>
      <c r="AR83" s="18"/>
      <c r="AS83" s="18"/>
      <c r="AT83" s="18"/>
      <c r="AV83" s="2"/>
      <c r="AW83" s="8"/>
      <c r="AX83" s="8"/>
      <c r="AY83" s="8"/>
      <c r="AZ83" s="7"/>
      <c r="BA83" s="7"/>
    </row>
    <row r="84" spans="19:53" x14ac:dyDescent="0.3">
      <c r="S84" s="2" t="s">
        <v>674</v>
      </c>
      <c r="T84" s="5" t="s">
        <v>373</v>
      </c>
      <c r="U84" s="259" t="str">
        <f t="shared" si="79"/>
        <v>Custom System</v>
      </c>
      <c r="V84" s="259" t="str">
        <f t="shared" si="78"/>
        <v>10% AC Reactor</v>
      </c>
      <c r="W84" s="5"/>
      <c r="Z84" s="218"/>
      <c r="AC84" s="7"/>
      <c r="AE84" s="2"/>
      <c r="AF84" s="250"/>
      <c r="AG84" s="250"/>
      <c r="AH84" s="250"/>
      <c r="AI84" s="250"/>
      <c r="AJ84" s="250"/>
      <c r="AK84" s="250"/>
      <c r="AL84" s="2"/>
      <c r="AM84" s="2"/>
      <c r="AN84" s="18"/>
      <c r="AO84" s="18"/>
      <c r="AP84" s="18"/>
      <c r="AQ84" s="18"/>
      <c r="AR84" s="18"/>
      <c r="AS84" s="18"/>
      <c r="AT84" s="18"/>
      <c r="AV84" s="2"/>
      <c r="AW84" s="8"/>
      <c r="AX84" s="8"/>
      <c r="AY84" s="8"/>
      <c r="AZ84" s="7"/>
      <c r="BA84" s="7"/>
    </row>
    <row r="85" spans="19:53" x14ac:dyDescent="0.3">
      <c r="S85" s="2" t="s">
        <v>675</v>
      </c>
      <c r="T85" s="5" t="s">
        <v>373</v>
      </c>
      <c r="U85" s="259" t="str">
        <f t="shared" si="79"/>
        <v>Custom System</v>
      </c>
      <c r="V85" s="259" t="str">
        <f t="shared" si="78"/>
        <v>7% THDi Passive Filter</v>
      </c>
      <c r="W85" s="5"/>
      <c r="Z85" s="218"/>
      <c r="AC85" s="7"/>
      <c r="AE85" s="2"/>
      <c r="AF85" s="250"/>
      <c r="AG85" s="250"/>
      <c r="AH85" s="250"/>
      <c r="AI85" s="250"/>
      <c r="AJ85" s="250"/>
      <c r="AK85" s="250"/>
      <c r="AL85" s="2"/>
      <c r="AM85" s="2"/>
      <c r="AN85" s="18"/>
      <c r="AO85" s="18"/>
      <c r="AP85" s="18"/>
      <c r="AQ85" s="18"/>
      <c r="AR85" s="18"/>
      <c r="AS85" s="18"/>
      <c r="AT85" s="18"/>
      <c r="AV85" s="2"/>
      <c r="AW85" s="8"/>
      <c r="AX85" s="8"/>
      <c r="AY85" s="8"/>
      <c r="AZ85" s="7"/>
      <c r="BA85" s="7"/>
    </row>
    <row r="86" spans="19:53" x14ac:dyDescent="0.3">
      <c r="S86" s="2" t="s">
        <v>676</v>
      </c>
      <c r="T86" s="5" t="s">
        <v>373</v>
      </c>
      <c r="U86" s="259" t="str">
        <f t="shared" si="79"/>
        <v>Custom System</v>
      </c>
      <c r="V86" s="259" t="str">
        <f t="shared" si="78"/>
        <v>5% THDi Passive Filter</v>
      </c>
      <c r="W86" s="5"/>
      <c r="Z86" s="218"/>
      <c r="AC86" s="7"/>
      <c r="AE86" s="2"/>
      <c r="AF86" s="250"/>
      <c r="AG86" s="250"/>
      <c r="AH86" s="250"/>
      <c r="AI86" s="250"/>
      <c r="AJ86" s="250"/>
      <c r="AK86" s="250"/>
      <c r="AL86" s="2"/>
      <c r="AM86" s="2"/>
      <c r="AN86" s="18"/>
      <c r="AO86" s="18"/>
      <c r="AP86" s="18"/>
      <c r="AQ86" s="18"/>
      <c r="AR86" s="18"/>
      <c r="AS86" s="18"/>
      <c r="AT86" s="18"/>
      <c r="AV86" s="2"/>
      <c r="AW86" s="8"/>
      <c r="AX86" s="8"/>
      <c r="AY86" s="8"/>
      <c r="AZ86" s="7"/>
      <c r="BA86" s="7"/>
    </row>
    <row r="87" spans="19:53" x14ac:dyDescent="0.3">
      <c r="S87" s="2"/>
      <c r="T87" s="5"/>
      <c r="U87" s="259"/>
      <c r="V87" s="259"/>
      <c r="W87" s="5"/>
      <c r="Z87" s="218"/>
      <c r="AC87" s="7"/>
      <c r="AE87" s="2"/>
      <c r="AF87" s="250"/>
      <c r="AG87" s="250"/>
      <c r="AH87" s="250"/>
      <c r="AI87" s="250"/>
      <c r="AJ87" s="250"/>
      <c r="AK87" s="250"/>
      <c r="AL87" s="2"/>
      <c r="AM87" s="2"/>
      <c r="AN87" s="18"/>
      <c r="AO87" s="18"/>
      <c r="AP87" s="18"/>
      <c r="AQ87" s="18"/>
      <c r="AR87" s="18"/>
      <c r="AS87" s="18"/>
      <c r="AT87" s="18"/>
      <c r="AV87" s="2"/>
      <c r="AW87" s="8"/>
      <c r="AX87" s="8"/>
      <c r="AY87" s="8"/>
      <c r="AZ87" s="7"/>
      <c r="BA87" s="7"/>
    </row>
    <row r="88" spans="19:53" x14ac:dyDescent="0.3">
      <c r="S88" s="2"/>
      <c r="T88" s="5"/>
      <c r="U88" s="259"/>
      <c r="V88" s="259"/>
      <c r="W88" s="5"/>
      <c r="Z88" s="218"/>
      <c r="AC88" s="7"/>
      <c r="AE88" s="2"/>
      <c r="AF88" s="250"/>
      <c r="AG88" s="250"/>
      <c r="AH88" s="250"/>
      <c r="AI88" s="250"/>
      <c r="AJ88" s="250"/>
      <c r="AK88" s="250"/>
      <c r="AL88" s="2"/>
      <c r="AM88" s="2"/>
      <c r="AN88" s="18"/>
      <c r="AO88" s="18"/>
      <c r="AP88" s="18"/>
      <c r="AQ88" s="18"/>
      <c r="AR88" s="18"/>
      <c r="AS88" s="18"/>
      <c r="AT88" s="18"/>
      <c r="AV88" s="2"/>
      <c r="AW88" s="8"/>
      <c r="AX88" s="8"/>
      <c r="AY88" s="8"/>
      <c r="AZ88" s="7"/>
      <c r="BA88" s="7"/>
    </row>
  </sheetData>
  <sheetProtection password="EDB7" sheet="1" objects="1" scenarios="1"/>
  <pageMargins left="1" right="0.5" top="0.5" bottom="0.5" header="0.3" footer="0.3"/>
  <pageSetup paperSize="17" scale="82"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N115"/>
  <sheetViews>
    <sheetView topLeftCell="AL1" workbookViewId="0">
      <selection activeCell="AX114" sqref="AX114"/>
    </sheetView>
  </sheetViews>
  <sheetFormatPr defaultRowHeight="14.4" x14ac:dyDescent="0.3"/>
  <cols>
    <col min="42" max="42" width="9.5546875" bestFit="1" customWidth="1"/>
    <col min="49" max="50" width="9.5546875" bestFit="1" customWidth="1"/>
    <col min="51" max="51" width="9.5546875" customWidth="1"/>
  </cols>
  <sheetData>
    <row r="1" spans="1:66" ht="15.6" x14ac:dyDescent="0.3">
      <c r="B1" s="247" t="s">
        <v>66</v>
      </c>
      <c r="AH1" s="107" t="s">
        <v>201</v>
      </c>
      <c r="AI1" s="107" t="s">
        <v>201</v>
      </c>
      <c r="AJ1" s="107" t="s">
        <v>201</v>
      </c>
      <c r="AK1" s="107" t="s">
        <v>201</v>
      </c>
      <c r="AL1" s="106"/>
      <c r="AM1" s="107" t="s">
        <v>201</v>
      </c>
      <c r="AN1" s="107" t="s">
        <v>201</v>
      </c>
      <c r="AO1" s="106"/>
      <c r="AP1" s="107" t="s">
        <v>201</v>
      </c>
      <c r="AQ1" s="107" t="s">
        <v>201</v>
      </c>
      <c r="AR1" s="107" t="s">
        <v>201</v>
      </c>
      <c r="AS1" s="106"/>
      <c r="AT1" s="107" t="s">
        <v>202</v>
      </c>
      <c r="AU1" s="107" t="s">
        <v>202</v>
      </c>
      <c r="AV1" s="107"/>
      <c r="AW1" s="107" t="s">
        <v>202</v>
      </c>
      <c r="AX1" s="107" t="s">
        <v>202</v>
      </c>
      <c r="AY1" s="107" t="s">
        <v>202</v>
      </c>
      <c r="BA1" s="106" t="s">
        <v>203</v>
      </c>
      <c r="BE1" s="24"/>
      <c r="BF1" s="106" t="s">
        <v>206</v>
      </c>
      <c r="BG1" s="106"/>
      <c r="BH1" s="106"/>
      <c r="BI1" s="106"/>
      <c r="BJ1" s="106" t="s">
        <v>127</v>
      </c>
    </row>
    <row r="2" spans="1:66" s="90" customFormat="1" x14ac:dyDescent="0.3">
      <c r="A2" s="90" t="s">
        <v>67</v>
      </c>
      <c r="B2" s="91" t="s">
        <v>269</v>
      </c>
      <c r="C2" s="91" t="s">
        <v>270</v>
      </c>
      <c r="D2" s="91" t="s">
        <v>271</v>
      </c>
      <c r="E2" s="91" t="s">
        <v>272</v>
      </c>
      <c r="F2" s="91" t="s">
        <v>273</v>
      </c>
      <c r="G2" s="91" t="s">
        <v>274</v>
      </c>
      <c r="H2" s="91" t="s">
        <v>275</v>
      </c>
      <c r="I2" s="91" t="s">
        <v>276</v>
      </c>
      <c r="J2" s="91" t="s">
        <v>277</v>
      </c>
      <c r="K2" s="91" t="s">
        <v>278</v>
      </c>
      <c r="L2" s="91" t="s">
        <v>279</v>
      </c>
      <c r="M2" s="91" t="s">
        <v>280</v>
      </c>
      <c r="N2" s="91" t="s">
        <v>281</v>
      </c>
      <c r="O2" s="91" t="s">
        <v>282</v>
      </c>
      <c r="P2" s="91" t="s">
        <v>283</v>
      </c>
      <c r="Q2" s="91" t="s">
        <v>284</v>
      </c>
      <c r="R2" s="91" t="s">
        <v>285</v>
      </c>
      <c r="S2" s="91" t="s">
        <v>286</v>
      </c>
      <c r="T2" s="91" t="s">
        <v>287</v>
      </c>
      <c r="U2" s="91" t="s">
        <v>288</v>
      </c>
      <c r="V2" s="91" t="s">
        <v>289</v>
      </c>
      <c r="W2" s="91" t="s">
        <v>290</v>
      </c>
      <c r="X2" s="91" t="s">
        <v>291</v>
      </c>
      <c r="Y2" s="91" t="s">
        <v>292</v>
      </c>
      <c r="Z2" s="91" t="s">
        <v>293</v>
      </c>
      <c r="AA2" s="91" t="s">
        <v>294</v>
      </c>
      <c r="AB2" s="91" t="s">
        <v>295</v>
      </c>
      <c r="AC2" s="91" t="s">
        <v>296</v>
      </c>
      <c r="AD2" s="91" t="s">
        <v>297</v>
      </c>
      <c r="AE2" s="91" t="s">
        <v>298</v>
      </c>
      <c r="AF2" s="91" t="s">
        <v>668</v>
      </c>
      <c r="AG2" s="91"/>
      <c r="AH2" s="91" t="s">
        <v>73</v>
      </c>
      <c r="AI2" s="91" t="s">
        <v>74</v>
      </c>
      <c r="AJ2" s="91" t="s">
        <v>181</v>
      </c>
      <c r="AK2" s="91" t="s">
        <v>9</v>
      </c>
      <c r="AM2" s="91" t="s">
        <v>54</v>
      </c>
      <c r="AN2" s="91" t="s">
        <v>183</v>
      </c>
      <c r="AP2" s="91" t="s">
        <v>141</v>
      </c>
      <c r="AQ2" s="91" t="s">
        <v>110</v>
      </c>
      <c r="AR2" s="91" t="s">
        <v>121</v>
      </c>
      <c r="AT2" s="91" t="s">
        <v>54</v>
      </c>
      <c r="AU2" s="91" t="s">
        <v>122</v>
      </c>
      <c r="AV2" s="91"/>
      <c r="AW2" s="91" t="s">
        <v>57</v>
      </c>
      <c r="AX2" s="91" t="s">
        <v>111</v>
      </c>
      <c r="AY2" s="91" t="s">
        <v>121</v>
      </c>
      <c r="BA2" s="91" t="s">
        <v>68</v>
      </c>
      <c r="BB2" s="91" t="s">
        <v>69</v>
      </c>
      <c r="BC2" s="91" t="s">
        <v>117</v>
      </c>
      <c r="BD2" s="91" t="s">
        <v>118</v>
      </c>
      <c r="BE2" s="91"/>
      <c r="BF2" s="91"/>
      <c r="BG2" s="91" t="str">
        <f>BK2</f>
        <v>XFMR Pri</v>
      </c>
      <c r="BH2" s="91" t="str">
        <f>BN2</f>
        <v>XFMR Sec</v>
      </c>
      <c r="BI2" s="91"/>
      <c r="BJ2" s="91"/>
      <c r="BK2" s="91" t="str">
        <f>Power!AG12</f>
        <v>XFMR Pri</v>
      </c>
      <c r="BL2" s="91"/>
      <c r="BM2" s="91"/>
      <c r="BN2" s="91" t="str">
        <f>Power!AG13</f>
        <v>XFMR Sec</v>
      </c>
    </row>
    <row r="3" spans="1:66" x14ac:dyDescent="0.3">
      <c r="AK3" s="18">
        <f>Power!Q9</f>
        <v>0</v>
      </c>
      <c r="AP3" s="1" t="s">
        <v>109</v>
      </c>
      <c r="AQ3" s="23"/>
      <c r="AR3" s="23"/>
      <c r="AS3" s="23"/>
      <c r="AT3" s="7">
        <f>Power!Z6</f>
        <v>28.75</v>
      </c>
      <c r="AU3" s="7"/>
      <c r="AV3" s="7"/>
      <c r="AW3" s="1" t="s">
        <v>109</v>
      </c>
      <c r="AX3" s="23"/>
      <c r="AY3" s="23"/>
      <c r="AZ3" s="23"/>
      <c r="BF3" t="s">
        <v>68</v>
      </c>
      <c r="BG3" t="s">
        <v>69</v>
      </c>
      <c r="BH3" t="s">
        <v>207</v>
      </c>
      <c r="BL3" s="1"/>
      <c r="BM3" s="1"/>
    </row>
    <row r="4" spans="1:66" x14ac:dyDescent="0.3">
      <c r="A4" t="s">
        <v>179</v>
      </c>
      <c r="B4" s="18">
        <f>Drives!AO6</f>
        <v>0</v>
      </c>
      <c r="C4" s="18">
        <f>Drives!AO7</f>
        <v>0</v>
      </c>
      <c r="D4" s="18">
        <f>Drives!AO8</f>
        <v>0</v>
      </c>
      <c r="E4" s="18">
        <f>Drives!AO9</f>
        <v>0</v>
      </c>
      <c r="F4" s="18">
        <f>Drives!AO10</f>
        <v>0</v>
      </c>
      <c r="G4" s="18">
        <f>Drives!AO11</f>
        <v>0</v>
      </c>
      <c r="H4" s="18">
        <f>Drives!AO12</f>
        <v>0</v>
      </c>
      <c r="I4" s="18">
        <f>Drives!AO13</f>
        <v>0</v>
      </c>
      <c r="J4" s="18">
        <f>Drives!AO14</f>
        <v>0</v>
      </c>
      <c r="K4" s="18">
        <f>Drives!$AO18</f>
        <v>0</v>
      </c>
      <c r="L4" s="18">
        <f>Drives!$AO19</f>
        <v>0</v>
      </c>
      <c r="M4" s="18">
        <f>Drives!$AO20</f>
        <v>0</v>
      </c>
      <c r="N4" s="18">
        <f>Drives!$AO21</f>
        <v>0</v>
      </c>
      <c r="O4" s="18">
        <f>Drives!$AO22</f>
        <v>0</v>
      </c>
      <c r="P4" s="18">
        <f>Drives!$AO23</f>
        <v>0</v>
      </c>
      <c r="Q4" s="18">
        <f>Drives!$AO24</f>
        <v>0</v>
      </c>
      <c r="R4" s="18">
        <f>Drives!$AO25</f>
        <v>0</v>
      </c>
      <c r="S4" s="18">
        <f>Drives!$AO26</f>
        <v>0</v>
      </c>
      <c r="T4" s="18">
        <f>Drives!$AO30</f>
        <v>0</v>
      </c>
      <c r="U4" s="18">
        <f>Drives!$AO31</f>
        <v>0</v>
      </c>
      <c r="V4" s="18">
        <f>Drives!$AO32</f>
        <v>0</v>
      </c>
      <c r="W4" s="18">
        <f>Drives!$AO33</f>
        <v>0</v>
      </c>
      <c r="X4" s="18">
        <f>Drives!$AO34</f>
        <v>0</v>
      </c>
      <c r="Y4" s="18">
        <f>Drives!$AO35</f>
        <v>0</v>
      </c>
      <c r="Z4" s="18">
        <f>Drives!$AO36</f>
        <v>0</v>
      </c>
      <c r="AA4" s="18">
        <f>Drives!$AO37</f>
        <v>0</v>
      </c>
      <c r="AB4" s="18">
        <f>Drives!$AO38</f>
        <v>0</v>
      </c>
      <c r="AC4" s="18">
        <f>Drives!AO42</f>
        <v>0</v>
      </c>
      <c r="AD4" s="18">
        <f>Drives!AO54</f>
        <v>0</v>
      </c>
      <c r="AE4" s="18">
        <f>Drives!AO66</f>
        <v>0</v>
      </c>
      <c r="AF4" s="18">
        <f>'G01'!H6</f>
        <v>0</v>
      </c>
      <c r="AG4" s="18"/>
      <c r="AH4" s="18">
        <f>SUM(B4:AF4)</f>
        <v>0</v>
      </c>
      <c r="AI4" s="18">
        <f>Power!K24+Power!E24</f>
        <v>1515.5444566227677</v>
      </c>
      <c r="AJ4" s="18">
        <f>SUM(AH4:AI4)</f>
        <v>1515.5444566227677</v>
      </c>
      <c r="AK4" s="18"/>
      <c r="AM4" s="18">
        <f>SUM(AJ4:AK4)</f>
        <v>1515.5444566227677</v>
      </c>
      <c r="AN4" s="8">
        <f>IF(AM$6=0,0,100*AM4/AM$6)</f>
        <v>90</v>
      </c>
      <c r="AP4" s="1"/>
      <c r="AQ4" s="23"/>
      <c r="AR4" s="23"/>
      <c r="AS4" s="23"/>
      <c r="AT4" s="18">
        <f t="shared" ref="AT4:AT5" si="0">AM4/AT$3</f>
        <v>52.714589795574533</v>
      </c>
      <c r="AU4" s="8">
        <f>IF(AT$6=0,0,100*AT4/AT$6)</f>
        <v>90</v>
      </c>
      <c r="AV4" s="7"/>
      <c r="AW4" s="1"/>
      <c r="AX4" s="23"/>
      <c r="AY4" s="23"/>
      <c r="AZ4" s="23"/>
      <c r="BK4" s="1"/>
      <c r="BL4" s="1"/>
      <c r="BM4" s="1"/>
      <c r="BN4" s="1"/>
    </row>
    <row r="5" spans="1:66" x14ac:dyDescent="0.3">
      <c r="A5" t="s">
        <v>178</v>
      </c>
      <c r="B5" s="18">
        <f>Drives!AP6</f>
        <v>0</v>
      </c>
      <c r="C5" s="18">
        <f>Drives!AP7</f>
        <v>0</v>
      </c>
      <c r="D5" s="18">
        <f>Drives!AP8</f>
        <v>0</v>
      </c>
      <c r="E5" s="18">
        <f>Drives!AP9</f>
        <v>0</v>
      </c>
      <c r="F5" s="18">
        <f>Drives!AP10</f>
        <v>0</v>
      </c>
      <c r="G5" s="18">
        <f>Drives!AP11</f>
        <v>0</v>
      </c>
      <c r="H5" s="18">
        <f>Drives!AP12</f>
        <v>0</v>
      </c>
      <c r="I5" s="18">
        <f>Drives!AP13</f>
        <v>0</v>
      </c>
      <c r="J5" s="18">
        <f>Drives!AP14</f>
        <v>0</v>
      </c>
      <c r="K5" s="18">
        <f>Drives!$AP18</f>
        <v>0</v>
      </c>
      <c r="L5" s="18">
        <f>Drives!$AP19</f>
        <v>0</v>
      </c>
      <c r="M5" s="18">
        <f>Drives!$AP20</f>
        <v>0</v>
      </c>
      <c r="N5" s="18">
        <f>Drives!$AP21</f>
        <v>0</v>
      </c>
      <c r="O5" s="18">
        <f>Drives!$AP22</f>
        <v>0</v>
      </c>
      <c r="P5" s="18">
        <f>Drives!$AP23</f>
        <v>0</v>
      </c>
      <c r="Q5" s="18">
        <f>Drives!$AP24</f>
        <v>0</v>
      </c>
      <c r="R5" s="18">
        <f>Drives!$AP25</f>
        <v>0</v>
      </c>
      <c r="S5" s="18">
        <f>Drives!$AP26</f>
        <v>0</v>
      </c>
      <c r="T5" s="18">
        <f>Drives!$AP30</f>
        <v>0</v>
      </c>
      <c r="U5" s="18">
        <f>Drives!$AP31</f>
        <v>0</v>
      </c>
      <c r="V5" s="18">
        <f>Drives!$AP32</f>
        <v>0</v>
      </c>
      <c r="W5" s="18">
        <f>Drives!$AP33</f>
        <v>0</v>
      </c>
      <c r="X5" s="18">
        <f>Drives!$AP34</f>
        <v>0</v>
      </c>
      <c r="Y5" s="18">
        <f>Drives!$AP35</f>
        <v>0</v>
      </c>
      <c r="Z5" s="18">
        <f>Drives!$AP36</f>
        <v>0</v>
      </c>
      <c r="AA5" s="18">
        <f>Drives!$AP37</f>
        <v>0</v>
      </c>
      <c r="AB5" s="18">
        <f>Drives!$AP38</f>
        <v>0</v>
      </c>
      <c r="AC5" s="18">
        <f>Drives!AP42</f>
        <v>0</v>
      </c>
      <c r="AD5" s="18">
        <f>Drives!AP54</f>
        <v>0</v>
      </c>
      <c r="AE5" s="18">
        <f>Drives!AP66</f>
        <v>0</v>
      </c>
      <c r="AF5" s="18">
        <f>'G01'!H7</f>
        <v>0</v>
      </c>
      <c r="AG5" s="18"/>
      <c r="AH5" s="18">
        <f t="shared" ref="AH5:AH12" si="1">SUM(B5:AF5)</f>
        <v>0</v>
      </c>
      <c r="AI5" s="18">
        <f>Power!K25+Power!E25</f>
        <v>734.01168120687828</v>
      </c>
      <c r="AJ5" s="18">
        <f t="shared" ref="AJ5:AJ67" si="2">SUM(AH5:AI5)</f>
        <v>734.01168120687828</v>
      </c>
      <c r="AK5" s="18"/>
      <c r="AM5" s="18">
        <f>SUM(AJ5:AK5)</f>
        <v>734.01168120687828</v>
      </c>
      <c r="AN5" s="8">
        <f t="shared" ref="AN5:AN68" si="3">IF(AM$6=0,0,100*AM5/AM$6)</f>
        <v>43.588989435406724</v>
      </c>
      <c r="AP5" s="1"/>
      <c r="AQ5" s="23"/>
      <c r="AR5" s="23"/>
      <c r="AS5" s="23"/>
      <c r="AT5" s="18">
        <f t="shared" si="0"/>
        <v>25.530841085456636</v>
      </c>
      <c r="AU5" s="8">
        <f t="shared" ref="AU5:AU68" si="4">IF(AT$6=0,0,100*AT5/AT$6)</f>
        <v>43.588989435406724</v>
      </c>
      <c r="AV5" s="7"/>
      <c r="AW5" s="1"/>
      <c r="AX5" s="23"/>
      <c r="AY5" s="23"/>
      <c r="AZ5" s="23"/>
      <c r="BK5" s="1"/>
      <c r="BL5" s="1"/>
      <c r="BM5" s="1"/>
      <c r="BN5" s="1"/>
    </row>
    <row r="6" spans="1:66" x14ac:dyDescent="0.3">
      <c r="A6" t="s">
        <v>180</v>
      </c>
      <c r="B6" s="18">
        <f>'A01'!$H4</f>
        <v>0</v>
      </c>
      <c r="C6" s="18">
        <f>'A02'!$H4</f>
        <v>0</v>
      </c>
      <c r="D6" s="18">
        <f>'A03'!$H4</f>
        <v>0</v>
      </c>
      <c r="E6" s="18">
        <f>'A04'!$H4</f>
        <v>0</v>
      </c>
      <c r="F6" s="18">
        <f>'A05'!$H4</f>
        <v>0</v>
      </c>
      <c r="G6" s="18">
        <f>'A06'!$H4</f>
        <v>0</v>
      </c>
      <c r="H6" s="18">
        <f>'A07'!$H4</f>
        <v>0</v>
      </c>
      <c r="I6" s="18">
        <f>'A08'!$H4</f>
        <v>0</v>
      </c>
      <c r="J6" s="18">
        <f>'A09'!$H4</f>
        <v>0</v>
      </c>
      <c r="K6" s="18">
        <f>'B01'!$H4</f>
        <v>0</v>
      </c>
      <c r="L6" s="18">
        <f>'B02'!$H4</f>
        <v>0</v>
      </c>
      <c r="M6" s="18">
        <f>'B03'!$H4</f>
        <v>0</v>
      </c>
      <c r="N6" s="18">
        <f>'B04'!$H4</f>
        <v>0</v>
      </c>
      <c r="O6" s="18">
        <f>'B05'!$H4</f>
        <v>0</v>
      </c>
      <c r="P6" s="18">
        <f>'B06'!$H4</f>
        <v>0</v>
      </c>
      <c r="Q6" s="18">
        <f>'B07'!$H4</f>
        <v>0</v>
      </c>
      <c r="R6" s="18">
        <f>'B08'!$H4</f>
        <v>0</v>
      </c>
      <c r="S6" s="18">
        <f>'B09'!$H4</f>
        <v>0</v>
      </c>
      <c r="T6" s="18">
        <f>'C01'!$H4</f>
        <v>0</v>
      </c>
      <c r="U6" s="18">
        <f>'C02'!$H4</f>
        <v>0</v>
      </c>
      <c r="V6" s="18">
        <f>'C03'!$H4</f>
        <v>0</v>
      </c>
      <c r="W6" s="18">
        <f>'C04'!$H4</f>
        <v>0</v>
      </c>
      <c r="X6" s="18">
        <f>'C05'!$H4</f>
        <v>0</v>
      </c>
      <c r="Y6" s="18">
        <f>'C06'!$H4</f>
        <v>0</v>
      </c>
      <c r="Z6" s="18">
        <f>'C07'!$H4</f>
        <v>0</v>
      </c>
      <c r="AA6" s="18">
        <f>'C08'!$H4</f>
        <v>0</v>
      </c>
      <c r="AB6" s="18">
        <f>'C09'!$H4</f>
        <v>0</v>
      </c>
      <c r="AC6" s="18">
        <f>'D01'!H4</f>
        <v>0</v>
      </c>
      <c r="AD6" s="18">
        <f>'E01'!H4</f>
        <v>0</v>
      </c>
      <c r="AE6" s="18">
        <f>'F01'!H4</f>
        <v>0</v>
      </c>
      <c r="AF6" s="18">
        <f>'G01'!H8</f>
        <v>0</v>
      </c>
      <c r="AG6" s="18"/>
      <c r="AH6" s="18">
        <f>SQRT(SUMSQ(AH4:AH5))</f>
        <v>0</v>
      </c>
      <c r="AI6" s="18">
        <f>SQRT(SUMSQ(AI4:AI5))</f>
        <v>1683.9382851364085</v>
      </c>
      <c r="AJ6" s="18">
        <f>SQRT(SUMSQ(AJ4:AJ5))</f>
        <v>1683.9382851364085</v>
      </c>
      <c r="AK6" s="18">
        <v>0</v>
      </c>
      <c r="AM6" s="18">
        <f>SQRT(SUMSQ(AM4:AM5))</f>
        <v>1683.9382851364085</v>
      </c>
      <c r="AN6" s="8">
        <f t="shared" si="3"/>
        <v>100</v>
      </c>
      <c r="AO6" s="18"/>
      <c r="AP6" s="7">
        <f>Power!AF18</f>
        <v>7199.9999999999991</v>
      </c>
      <c r="AQ6" s="8">
        <f>Power!AF5/SQRT(3)</f>
        <v>277.12812921102039</v>
      </c>
      <c r="AR6" s="8">
        <f>100*AQ6/AQ$6</f>
        <v>100</v>
      </c>
      <c r="AT6" s="18">
        <f>AM6/AT$3</f>
        <v>58.571766439527252</v>
      </c>
      <c r="AU6" s="8">
        <f t="shared" si="4"/>
        <v>100</v>
      </c>
      <c r="AV6" s="18"/>
      <c r="AW6" s="57">
        <f>Power!W18</f>
        <v>476100.00000000006</v>
      </c>
      <c r="AX6">
        <f>Power!W5/SQRT(3)</f>
        <v>7967.4337148168361</v>
      </c>
      <c r="AY6" s="8">
        <f>100*AX6/AX$6</f>
        <v>100</v>
      </c>
      <c r="BA6">
        <v>1</v>
      </c>
      <c r="BB6" s="18">
        <f t="shared" ref="BB6:BB37" si="5">AM6</f>
        <v>1683.9382851364085</v>
      </c>
      <c r="BC6">
        <f>IF(BB$107=0,0,BB6/BB$107)</f>
        <v>1</v>
      </c>
      <c r="BD6">
        <f t="shared" ref="BD6:BD69" si="6">BA6*BC6</f>
        <v>1</v>
      </c>
      <c r="BF6">
        <f>BA6</f>
        <v>1</v>
      </c>
      <c r="BG6" s="18">
        <f>IF(BG$2="XFMR Pri",AT6,AM6)</f>
        <v>58.571766439527252</v>
      </c>
      <c r="BH6">
        <f>IF(BH$2="XFMR Pri",AX6,AQ6)</f>
        <v>277.12812921102039</v>
      </c>
      <c r="BJ6" s="22"/>
      <c r="BK6" s="1" t="s">
        <v>128</v>
      </c>
      <c r="BL6" s="18"/>
      <c r="BM6" s="18"/>
      <c r="BN6" s="1" t="s">
        <v>129</v>
      </c>
    </row>
    <row r="7" spans="1:66" x14ac:dyDescent="0.3">
      <c r="A7">
        <v>2</v>
      </c>
      <c r="B7" s="18">
        <f>'A01'!$H5</f>
        <v>0</v>
      </c>
      <c r="C7" s="18">
        <f>'A02'!$H5</f>
        <v>0</v>
      </c>
      <c r="D7" s="18">
        <f>'A03'!$H5</f>
        <v>0</v>
      </c>
      <c r="E7" s="18">
        <f>'A04'!$H5</f>
        <v>0</v>
      </c>
      <c r="F7" s="18">
        <f>'A05'!$H5</f>
        <v>0</v>
      </c>
      <c r="G7" s="18">
        <f>'A06'!$H5</f>
        <v>0</v>
      </c>
      <c r="H7" s="18">
        <f>'A07'!$H5</f>
        <v>0</v>
      </c>
      <c r="I7" s="18">
        <f>'A08'!$H5</f>
        <v>0</v>
      </c>
      <c r="J7" s="18">
        <f>'A09'!$H5</f>
        <v>0</v>
      </c>
      <c r="K7" s="18">
        <f>'B01'!$H5</f>
        <v>0</v>
      </c>
      <c r="L7" s="18">
        <f>'B02'!$H5</f>
        <v>0</v>
      </c>
      <c r="M7" s="18">
        <f>'B03'!$H5</f>
        <v>0</v>
      </c>
      <c r="N7" s="18">
        <f>'B04'!$H5</f>
        <v>0</v>
      </c>
      <c r="O7" s="18">
        <f>'B05'!$H5</f>
        <v>0</v>
      </c>
      <c r="P7" s="18">
        <f>'B06'!$H5</f>
        <v>0</v>
      </c>
      <c r="Q7" s="18">
        <f>'B07'!$H5</f>
        <v>0</v>
      </c>
      <c r="R7" s="18">
        <f>'B08'!$H5</f>
        <v>0</v>
      </c>
      <c r="S7" s="18">
        <f>'B09'!$H5</f>
        <v>0</v>
      </c>
      <c r="T7" s="18">
        <f>'C01'!$H5</f>
        <v>0</v>
      </c>
      <c r="U7" s="18">
        <f>'C02'!$H5</f>
        <v>0</v>
      </c>
      <c r="V7" s="18">
        <f>'C03'!$H5</f>
        <v>0</v>
      </c>
      <c r="W7" s="18">
        <f>'C04'!$H5</f>
        <v>0</v>
      </c>
      <c r="X7" s="18">
        <f>'C05'!$H5</f>
        <v>0</v>
      </c>
      <c r="Y7" s="18">
        <f>'C06'!$H5</f>
        <v>0</v>
      </c>
      <c r="Z7" s="18">
        <f>'C07'!$H5</f>
        <v>0</v>
      </c>
      <c r="AA7" s="18">
        <f>'C08'!$H5</f>
        <v>0</v>
      </c>
      <c r="AB7" s="18">
        <f>'C09'!$H5</f>
        <v>0</v>
      </c>
      <c r="AC7" s="18">
        <f>'D01'!H5</f>
        <v>0</v>
      </c>
      <c r="AD7" s="18">
        <f>'E01'!H5</f>
        <v>0</v>
      </c>
      <c r="AE7" s="18">
        <f>'F01'!H5</f>
        <v>0</v>
      </c>
      <c r="AF7" s="18">
        <f>'G01'!H9</f>
        <v>0</v>
      </c>
      <c r="AG7" s="18"/>
      <c r="AH7" s="18">
        <f t="shared" si="1"/>
        <v>0</v>
      </c>
      <c r="AI7" s="18">
        <v>0</v>
      </c>
      <c r="AJ7" s="18">
        <f t="shared" si="2"/>
        <v>0</v>
      </c>
      <c r="AK7" s="18">
        <f>AK$3*AH7</f>
        <v>0</v>
      </c>
      <c r="AL7" s="18"/>
      <c r="AM7" s="18">
        <f>SUM(AJ7:AK7)</f>
        <v>0</v>
      </c>
      <c r="AN7" s="8">
        <f t="shared" si="3"/>
        <v>0</v>
      </c>
      <c r="AO7" s="18"/>
      <c r="AP7" s="7">
        <f t="shared" ref="AP7:AP38" si="7">A7*AP$6</f>
        <v>14399.999999999998</v>
      </c>
      <c r="AQ7" s="8">
        <f t="shared" ref="AQ7:AQ38" si="8">AM7*AP7/1000000</f>
        <v>0</v>
      </c>
      <c r="AR7" s="8">
        <f t="shared" ref="AR7:AR70" si="9">100*AQ7/AQ$6</f>
        <v>0</v>
      </c>
      <c r="AS7" s="23"/>
      <c r="AT7" s="18">
        <f>AM7/AT$3</f>
        <v>0</v>
      </c>
      <c r="AU7" s="8">
        <f t="shared" si="4"/>
        <v>0</v>
      </c>
      <c r="AV7" s="18"/>
      <c r="AW7" s="23">
        <f t="shared" ref="AW7:AW38" si="10">A7*AW$6</f>
        <v>952200.00000000012</v>
      </c>
      <c r="AX7" s="23">
        <f>AT7*AW7/1000000</f>
        <v>0</v>
      </c>
      <c r="AY7" s="8">
        <f t="shared" ref="AY7:AY70" si="11">100*AX7/AX$6</f>
        <v>0</v>
      </c>
      <c r="AZ7" s="23"/>
      <c r="BA7">
        <f t="shared" ref="BA7:BA38" si="12">A7</f>
        <v>2</v>
      </c>
      <c r="BB7" s="18">
        <f t="shared" si="5"/>
        <v>0</v>
      </c>
      <c r="BC7">
        <f t="shared" ref="BC7:BC70" si="13">IF(BB$107=0,0,BB7/BB$107)</f>
        <v>0</v>
      </c>
      <c r="BD7">
        <f t="shared" si="6"/>
        <v>0</v>
      </c>
      <c r="BF7">
        <f t="shared" ref="BF7:BF70" si="14">BA7</f>
        <v>2</v>
      </c>
      <c r="BG7" s="18">
        <f t="shared" ref="BG7:BG70" si="15">IF(BG$2="XFMR Pri",AT7,AM7)</f>
        <v>0</v>
      </c>
      <c r="BH7" s="18">
        <f t="shared" ref="BH7:BH70" si="16">IF(BH$2="XFMR Pri",AX7,AQ7)</f>
        <v>0</v>
      </c>
      <c r="BJ7">
        <v>2</v>
      </c>
      <c r="BK7" s="8">
        <f>IF(BK$2="XFMR Pri",AU7,AN7)</f>
        <v>0</v>
      </c>
      <c r="BL7" s="8"/>
      <c r="BM7" s="57">
        <v>2</v>
      </c>
      <c r="BN7" s="8">
        <f>IF(BN$2="XFMR Pri",AY7,AR7)</f>
        <v>0</v>
      </c>
    </row>
    <row r="8" spans="1:66" x14ac:dyDescent="0.3">
      <c r="A8">
        <v>3</v>
      </c>
      <c r="B8" s="18">
        <f>'A01'!$H6</f>
        <v>0</v>
      </c>
      <c r="C8" s="18">
        <f>'A02'!$H6</f>
        <v>0</v>
      </c>
      <c r="D8" s="18">
        <f>'A03'!$H6</f>
        <v>0</v>
      </c>
      <c r="E8" s="18">
        <f>'A04'!$H6</f>
        <v>0</v>
      </c>
      <c r="F8" s="18">
        <f>'A05'!$H6</f>
        <v>0</v>
      </c>
      <c r="G8" s="18">
        <f>'A06'!$H6</f>
        <v>0</v>
      </c>
      <c r="H8" s="18">
        <f>'A07'!$H6</f>
        <v>0</v>
      </c>
      <c r="I8" s="18">
        <f>'A08'!$H6</f>
        <v>0</v>
      </c>
      <c r="J8" s="18">
        <f>'A09'!$H6</f>
        <v>0</v>
      </c>
      <c r="K8" s="18">
        <f>'B01'!$H6</f>
        <v>0</v>
      </c>
      <c r="L8" s="18">
        <f>'B02'!$H6</f>
        <v>0</v>
      </c>
      <c r="M8" s="18">
        <f>'B03'!$H6</f>
        <v>0</v>
      </c>
      <c r="N8" s="18">
        <f>'B04'!$H6</f>
        <v>0</v>
      </c>
      <c r="O8" s="18">
        <f>'B05'!$H6</f>
        <v>0</v>
      </c>
      <c r="P8" s="18">
        <f>'B06'!$H6</f>
        <v>0</v>
      </c>
      <c r="Q8" s="18">
        <f>'B07'!$H6</f>
        <v>0</v>
      </c>
      <c r="R8" s="18">
        <f>'B08'!$H6</f>
        <v>0</v>
      </c>
      <c r="S8" s="18">
        <f>'B09'!$H6</f>
        <v>0</v>
      </c>
      <c r="T8" s="18">
        <f>'C01'!$H6</f>
        <v>0</v>
      </c>
      <c r="U8" s="18">
        <f>'C02'!$H6</f>
        <v>0</v>
      </c>
      <c r="V8" s="18">
        <f>'C03'!$H6</f>
        <v>0</v>
      </c>
      <c r="W8" s="18">
        <f>'C04'!$H6</f>
        <v>0</v>
      </c>
      <c r="X8" s="18">
        <f>'C05'!$H6</f>
        <v>0</v>
      </c>
      <c r="Y8" s="18">
        <f>'C06'!$H6</f>
        <v>0</v>
      </c>
      <c r="Z8" s="18">
        <f>'C07'!$H6</f>
        <v>0</v>
      </c>
      <c r="AA8" s="18">
        <f>'C08'!$H6</f>
        <v>0</v>
      </c>
      <c r="AB8" s="18">
        <f>'C09'!$H6</f>
        <v>0</v>
      </c>
      <c r="AC8" s="18">
        <f>'D01'!H6</f>
        <v>0</v>
      </c>
      <c r="AD8" s="18">
        <f>'E01'!H6</f>
        <v>0</v>
      </c>
      <c r="AE8" s="18">
        <f>'F01'!H6</f>
        <v>0</v>
      </c>
      <c r="AF8" s="18">
        <f>'G01'!H10</f>
        <v>0</v>
      </c>
      <c r="AH8" s="18">
        <f>SUM(B8:AF8)</f>
        <v>0</v>
      </c>
      <c r="AI8" s="18">
        <v>0</v>
      </c>
      <c r="AJ8" s="18">
        <f>SUM(AH8:AI8)</f>
        <v>0</v>
      </c>
      <c r="AK8" s="18">
        <f>AK$3*AH8</f>
        <v>0</v>
      </c>
      <c r="AL8" s="18"/>
      <c r="AM8" s="18">
        <f t="shared" ref="AM8:AM71" si="17">SUM(AJ8:AK8)</f>
        <v>0</v>
      </c>
      <c r="AN8" s="8">
        <f t="shared" si="3"/>
        <v>0</v>
      </c>
      <c r="AO8" s="18"/>
      <c r="AP8" s="7">
        <f t="shared" si="7"/>
        <v>21599.999999999996</v>
      </c>
      <c r="AQ8" s="8">
        <f t="shared" si="8"/>
        <v>0</v>
      </c>
      <c r="AR8" s="8">
        <f t="shared" si="9"/>
        <v>0</v>
      </c>
      <c r="AS8" s="498"/>
      <c r="AT8" s="497">
        <f>AT114*AM8/AT$3</f>
        <v>0</v>
      </c>
      <c r="AU8" s="8">
        <f t="shared" si="4"/>
        <v>0</v>
      </c>
      <c r="AV8" s="18"/>
      <c r="AW8" s="23">
        <f t="shared" si="10"/>
        <v>1428300.0000000002</v>
      </c>
      <c r="AX8" s="23">
        <f t="shared" ref="AX8:AX71" si="18">AT8*AW8/1000000</f>
        <v>0</v>
      </c>
      <c r="AY8" s="8">
        <f t="shared" si="11"/>
        <v>0</v>
      </c>
      <c r="AZ8" s="23"/>
      <c r="BA8">
        <f t="shared" si="12"/>
        <v>3</v>
      </c>
      <c r="BB8" s="18">
        <f t="shared" si="5"/>
        <v>0</v>
      </c>
      <c r="BC8">
        <f t="shared" si="13"/>
        <v>0</v>
      </c>
      <c r="BD8">
        <f t="shared" si="6"/>
        <v>0</v>
      </c>
      <c r="BF8">
        <f t="shared" si="14"/>
        <v>3</v>
      </c>
      <c r="BG8" s="18">
        <f t="shared" si="15"/>
        <v>0</v>
      </c>
      <c r="BH8" s="18">
        <f t="shared" si="16"/>
        <v>0</v>
      </c>
      <c r="BJ8">
        <v>3</v>
      </c>
      <c r="BK8" s="8">
        <f t="shared" ref="BK8:BK55" si="19">IF(BK$2="XFMR Pri",AU8,AN8)</f>
        <v>0</v>
      </c>
      <c r="BL8" s="8"/>
      <c r="BM8" s="57">
        <v>3</v>
      </c>
      <c r="BN8" s="8">
        <f t="shared" ref="BN8:BN55" si="20">IF(BN$2="XFMR Pri",AY8,AR8)</f>
        <v>0</v>
      </c>
    </row>
    <row r="9" spans="1:66" x14ac:dyDescent="0.3">
      <c r="A9">
        <v>4</v>
      </c>
      <c r="B9" s="18">
        <f>'A01'!$H7</f>
        <v>0</v>
      </c>
      <c r="C9" s="18">
        <f>'A02'!$H7</f>
        <v>0</v>
      </c>
      <c r="D9" s="18">
        <f>'A03'!$H7</f>
        <v>0</v>
      </c>
      <c r="E9" s="18">
        <f>'A04'!$H7</f>
        <v>0</v>
      </c>
      <c r="F9" s="18">
        <f>'A05'!$H7</f>
        <v>0</v>
      </c>
      <c r="G9" s="18">
        <f>'A06'!$H7</f>
        <v>0</v>
      </c>
      <c r="H9" s="18">
        <f>'A07'!$H7</f>
        <v>0</v>
      </c>
      <c r="I9" s="18">
        <f>'A08'!$H7</f>
        <v>0</v>
      </c>
      <c r="J9" s="18">
        <f>'A09'!$H7</f>
        <v>0</v>
      </c>
      <c r="K9" s="18">
        <f>'B01'!$H7</f>
        <v>0</v>
      </c>
      <c r="L9" s="18">
        <f>'B02'!$H7</f>
        <v>0</v>
      </c>
      <c r="M9" s="18">
        <f>'B03'!$H7</f>
        <v>0</v>
      </c>
      <c r="N9" s="18">
        <f>'B04'!$H7</f>
        <v>0</v>
      </c>
      <c r="O9" s="18">
        <f>'B05'!$H7</f>
        <v>0</v>
      </c>
      <c r="P9" s="18">
        <f>'B06'!$H7</f>
        <v>0</v>
      </c>
      <c r="Q9" s="18">
        <f>'B07'!$H7</f>
        <v>0</v>
      </c>
      <c r="R9" s="18">
        <f>'B08'!$H7</f>
        <v>0</v>
      </c>
      <c r="S9" s="18">
        <f>'B09'!$H7</f>
        <v>0</v>
      </c>
      <c r="T9" s="18">
        <f>'C01'!$H7</f>
        <v>0</v>
      </c>
      <c r="U9" s="18">
        <f>'C02'!$H7</f>
        <v>0</v>
      </c>
      <c r="V9" s="18">
        <f>'C03'!$H7</f>
        <v>0</v>
      </c>
      <c r="W9" s="18">
        <f>'C04'!$H7</f>
        <v>0</v>
      </c>
      <c r="X9" s="18">
        <f>'C05'!$H7</f>
        <v>0</v>
      </c>
      <c r="Y9" s="18">
        <f>'C06'!$H7</f>
        <v>0</v>
      </c>
      <c r="Z9" s="18">
        <f>'C07'!$H7</f>
        <v>0</v>
      </c>
      <c r="AA9" s="18">
        <f>'C08'!$H7</f>
        <v>0</v>
      </c>
      <c r="AB9" s="18">
        <f>'C09'!$H7</f>
        <v>0</v>
      </c>
      <c r="AC9" s="18">
        <f>'D01'!H7</f>
        <v>0</v>
      </c>
      <c r="AD9" s="18">
        <f>'E01'!H7</f>
        <v>0</v>
      </c>
      <c r="AE9" s="18">
        <f>'F01'!H7</f>
        <v>0</v>
      </c>
      <c r="AF9" s="18">
        <f>'G01'!H11</f>
        <v>0</v>
      </c>
      <c r="AG9" s="18"/>
      <c r="AH9" s="18">
        <f t="shared" si="1"/>
        <v>0</v>
      </c>
      <c r="AI9" s="18">
        <v>0</v>
      </c>
      <c r="AJ9" s="18">
        <f t="shared" si="2"/>
        <v>0</v>
      </c>
      <c r="AK9" s="18">
        <f t="shared" ref="AK9:AK55" si="21">AK$3*AH9</f>
        <v>0</v>
      </c>
      <c r="AL9" s="18"/>
      <c r="AM9" s="18">
        <f t="shared" si="17"/>
        <v>0</v>
      </c>
      <c r="AN9" s="8">
        <f t="shared" si="3"/>
        <v>0</v>
      </c>
      <c r="AO9" s="18"/>
      <c r="AP9" s="7">
        <f t="shared" si="7"/>
        <v>28799.999999999996</v>
      </c>
      <c r="AQ9" s="8">
        <f t="shared" si="8"/>
        <v>0</v>
      </c>
      <c r="AR9" s="8">
        <f t="shared" si="9"/>
        <v>0</v>
      </c>
      <c r="AS9" s="23"/>
      <c r="AT9" s="18">
        <f t="shared" ref="AT9:AT55" si="22">AM9/AT$3</f>
        <v>0</v>
      </c>
      <c r="AU9" s="8">
        <f t="shared" si="4"/>
        <v>0</v>
      </c>
      <c r="AV9" s="18"/>
      <c r="AW9" s="23">
        <f t="shared" si="10"/>
        <v>1904400.0000000002</v>
      </c>
      <c r="AX9" s="23">
        <f t="shared" si="18"/>
        <v>0</v>
      </c>
      <c r="AY9" s="8">
        <f t="shared" si="11"/>
        <v>0</v>
      </c>
      <c r="AZ9" s="23"/>
      <c r="BA9">
        <f t="shared" si="12"/>
        <v>4</v>
      </c>
      <c r="BB9" s="18">
        <f t="shared" si="5"/>
        <v>0</v>
      </c>
      <c r="BC9">
        <f t="shared" si="13"/>
        <v>0</v>
      </c>
      <c r="BD9">
        <f t="shared" si="6"/>
        <v>0</v>
      </c>
      <c r="BF9">
        <f t="shared" si="14"/>
        <v>4</v>
      </c>
      <c r="BG9" s="18">
        <f t="shared" si="15"/>
        <v>0</v>
      </c>
      <c r="BH9" s="18">
        <f t="shared" si="16"/>
        <v>0</v>
      </c>
      <c r="BJ9">
        <v>4</v>
      </c>
      <c r="BK9" s="8">
        <f t="shared" si="19"/>
        <v>0</v>
      </c>
      <c r="BL9" s="8"/>
      <c r="BM9" s="57">
        <v>4</v>
      </c>
      <c r="BN9" s="8">
        <f t="shared" si="20"/>
        <v>0</v>
      </c>
    </row>
    <row r="10" spans="1:66" x14ac:dyDescent="0.3">
      <c r="A10">
        <v>5</v>
      </c>
      <c r="B10" s="18">
        <f>'A01'!$H8</f>
        <v>0</v>
      </c>
      <c r="C10" s="18">
        <f>'A02'!$H8</f>
        <v>0</v>
      </c>
      <c r="D10" s="18">
        <f>'A03'!$H8</f>
        <v>0</v>
      </c>
      <c r="E10" s="18">
        <f>'A04'!$H8</f>
        <v>0</v>
      </c>
      <c r="F10" s="18">
        <f>'A05'!$H8</f>
        <v>0</v>
      </c>
      <c r="G10" s="18">
        <f>'A06'!$H8</f>
        <v>0</v>
      </c>
      <c r="H10" s="18">
        <f>'A07'!$H8</f>
        <v>0</v>
      </c>
      <c r="I10" s="18">
        <f>'A08'!$H8</f>
        <v>0</v>
      </c>
      <c r="J10" s="18">
        <f>'A09'!$H8</f>
        <v>0</v>
      </c>
      <c r="K10" s="18">
        <f>'B01'!$H8</f>
        <v>0</v>
      </c>
      <c r="L10" s="18">
        <f>'B02'!$H8</f>
        <v>0</v>
      </c>
      <c r="M10" s="18">
        <f>'B03'!$H8</f>
        <v>0</v>
      </c>
      <c r="N10" s="18">
        <f>'B04'!$H8</f>
        <v>0</v>
      </c>
      <c r="O10" s="18">
        <f>'B05'!$H8</f>
        <v>0</v>
      </c>
      <c r="P10" s="18">
        <f>'B06'!$H8</f>
        <v>0</v>
      </c>
      <c r="Q10" s="18">
        <f>'B07'!$H8</f>
        <v>0</v>
      </c>
      <c r="R10" s="18">
        <f>'B08'!$H8</f>
        <v>0</v>
      </c>
      <c r="S10" s="18">
        <f>'B09'!$H8</f>
        <v>0</v>
      </c>
      <c r="T10" s="18">
        <f>'C01'!$H8</f>
        <v>0</v>
      </c>
      <c r="U10" s="18">
        <f>'C02'!$H8</f>
        <v>0</v>
      </c>
      <c r="V10" s="18">
        <f>'C03'!$H8</f>
        <v>0</v>
      </c>
      <c r="W10" s="18">
        <f>'C04'!$H8</f>
        <v>0</v>
      </c>
      <c r="X10" s="18">
        <f>'C05'!$H8</f>
        <v>0</v>
      </c>
      <c r="Y10" s="18">
        <f>'C06'!$H8</f>
        <v>0</v>
      </c>
      <c r="Z10" s="18">
        <f>'C07'!$H8</f>
        <v>0</v>
      </c>
      <c r="AA10" s="18">
        <f>'C08'!$H8</f>
        <v>0</v>
      </c>
      <c r="AB10" s="18">
        <f>'C09'!$H8</f>
        <v>0</v>
      </c>
      <c r="AC10" s="18">
        <f>'D01'!H8</f>
        <v>0</v>
      </c>
      <c r="AD10" s="18">
        <f>'E01'!H8</f>
        <v>0</v>
      </c>
      <c r="AE10" s="18">
        <f>'F01'!H8</f>
        <v>0</v>
      </c>
      <c r="AF10" s="18">
        <f>'G01'!H12</f>
        <v>0</v>
      </c>
      <c r="AG10" s="18"/>
      <c r="AH10" s="18">
        <f t="shared" si="1"/>
        <v>0</v>
      </c>
      <c r="AI10" s="18">
        <v>0</v>
      </c>
      <c r="AJ10" s="18">
        <f t="shared" si="2"/>
        <v>0</v>
      </c>
      <c r="AK10" s="18">
        <f t="shared" si="21"/>
        <v>0</v>
      </c>
      <c r="AL10" s="18"/>
      <c r="AM10" s="18">
        <f t="shared" si="17"/>
        <v>0</v>
      </c>
      <c r="AN10" s="8">
        <f t="shared" si="3"/>
        <v>0</v>
      </c>
      <c r="AO10" s="18"/>
      <c r="AP10" s="7">
        <f t="shared" si="7"/>
        <v>35999.999999999993</v>
      </c>
      <c r="AQ10" s="8">
        <f t="shared" si="8"/>
        <v>0</v>
      </c>
      <c r="AR10" s="8">
        <f t="shared" si="9"/>
        <v>0</v>
      </c>
      <c r="AS10" s="23"/>
      <c r="AT10" s="18">
        <f t="shared" si="22"/>
        <v>0</v>
      </c>
      <c r="AU10" s="8">
        <f t="shared" si="4"/>
        <v>0</v>
      </c>
      <c r="AV10" s="18"/>
      <c r="AW10" s="23">
        <f t="shared" si="10"/>
        <v>2380500.0000000005</v>
      </c>
      <c r="AX10" s="23">
        <f t="shared" si="18"/>
        <v>0</v>
      </c>
      <c r="AY10" s="8">
        <f t="shared" si="11"/>
        <v>0</v>
      </c>
      <c r="AZ10" s="23"/>
      <c r="BA10">
        <f t="shared" si="12"/>
        <v>5</v>
      </c>
      <c r="BB10" s="18">
        <f t="shared" si="5"/>
        <v>0</v>
      </c>
      <c r="BC10">
        <f t="shared" si="13"/>
        <v>0</v>
      </c>
      <c r="BD10">
        <f t="shared" si="6"/>
        <v>0</v>
      </c>
      <c r="BF10">
        <f t="shared" si="14"/>
        <v>5</v>
      </c>
      <c r="BG10" s="18">
        <f t="shared" si="15"/>
        <v>0</v>
      </c>
      <c r="BH10" s="18">
        <f t="shared" si="16"/>
        <v>0</v>
      </c>
      <c r="BJ10">
        <v>5</v>
      </c>
      <c r="BK10" s="8">
        <f t="shared" si="19"/>
        <v>0</v>
      </c>
      <c r="BL10" s="8"/>
      <c r="BM10" s="57">
        <v>5</v>
      </c>
      <c r="BN10" s="8">
        <f t="shared" si="20"/>
        <v>0</v>
      </c>
    </row>
    <row r="11" spans="1:66" x14ac:dyDescent="0.3">
      <c r="A11">
        <v>6</v>
      </c>
      <c r="B11" s="18">
        <f>'A01'!$H9</f>
        <v>0</v>
      </c>
      <c r="C11" s="18">
        <f>'A02'!$H9</f>
        <v>0</v>
      </c>
      <c r="D11" s="18">
        <f>'A03'!$H9</f>
        <v>0</v>
      </c>
      <c r="E11" s="18">
        <f>'A04'!$H9</f>
        <v>0</v>
      </c>
      <c r="F11" s="18">
        <f>'A05'!$H9</f>
        <v>0</v>
      </c>
      <c r="G11" s="18">
        <f>'A06'!$H9</f>
        <v>0</v>
      </c>
      <c r="H11" s="18">
        <f>'A07'!$H9</f>
        <v>0</v>
      </c>
      <c r="I11" s="18">
        <f>'A08'!$H9</f>
        <v>0</v>
      </c>
      <c r="J11" s="18">
        <f>'A09'!$H9</f>
        <v>0</v>
      </c>
      <c r="K11" s="18">
        <f>'B01'!$H9</f>
        <v>0</v>
      </c>
      <c r="L11" s="18">
        <f>'B02'!$H9</f>
        <v>0</v>
      </c>
      <c r="M11" s="18">
        <f>'B03'!$H9</f>
        <v>0</v>
      </c>
      <c r="N11" s="18">
        <f>'B04'!$H9</f>
        <v>0</v>
      </c>
      <c r="O11" s="18">
        <f>'B05'!$H9</f>
        <v>0</v>
      </c>
      <c r="P11" s="18">
        <f>'B06'!$H9</f>
        <v>0</v>
      </c>
      <c r="Q11" s="18">
        <f>'B07'!$H9</f>
        <v>0</v>
      </c>
      <c r="R11" s="18">
        <f>'B08'!$H9</f>
        <v>0</v>
      </c>
      <c r="S11" s="18">
        <f>'B09'!$H9</f>
        <v>0</v>
      </c>
      <c r="T11" s="18">
        <f>'C01'!$H9</f>
        <v>0</v>
      </c>
      <c r="U11" s="18">
        <f>'C02'!$H9</f>
        <v>0</v>
      </c>
      <c r="V11" s="18">
        <f>'C03'!$H9</f>
        <v>0</v>
      </c>
      <c r="W11" s="18">
        <f>'C04'!$H9</f>
        <v>0</v>
      </c>
      <c r="X11" s="18">
        <f>'C05'!$H9</f>
        <v>0</v>
      </c>
      <c r="Y11" s="18">
        <f>'C06'!$H9</f>
        <v>0</v>
      </c>
      <c r="Z11" s="18">
        <f>'C07'!$H9</f>
        <v>0</v>
      </c>
      <c r="AA11" s="18">
        <f>'C08'!$H9</f>
        <v>0</v>
      </c>
      <c r="AB11" s="18">
        <f>'C09'!$H9</f>
        <v>0</v>
      </c>
      <c r="AC11" s="18">
        <f>'D01'!H9</f>
        <v>0</v>
      </c>
      <c r="AD11" s="18">
        <f>'E01'!H9</f>
        <v>0</v>
      </c>
      <c r="AE11" s="18">
        <f>'F01'!H9</f>
        <v>0</v>
      </c>
      <c r="AF11" s="18">
        <f>'G01'!H13</f>
        <v>0</v>
      </c>
      <c r="AH11" s="18">
        <f>SUM(B11:AF11)</f>
        <v>0</v>
      </c>
      <c r="AI11" s="18">
        <v>0</v>
      </c>
      <c r="AJ11" s="18">
        <f>SUM(AH11:AI11)</f>
        <v>0</v>
      </c>
      <c r="AK11" s="18">
        <f>AK$3*AH11</f>
        <v>0</v>
      </c>
      <c r="AL11" s="18"/>
      <c r="AM11" s="18">
        <f t="shared" si="17"/>
        <v>0</v>
      </c>
      <c r="AN11" s="8">
        <f t="shared" si="3"/>
        <v>0</v>
      </c>
      <c r="AO11" s="18"/>
      <c r="AP11" s="7">
        <f t="shared" si="7"/>
        <v>43199.999999999993</v>
      </c>
      <c r="AQ11" s="8">
        <f t="shared" si="8"/>
        <v>0</v>
      </c>
      <c r="AR11" s="8">
        <f t="shared" si="9"/>
        <v>0</v>
      </c>
      <c r="AS11" s="23"/>
      <c r="AT11" s="497">
        <f>AT114*AM11/AT$3</f>
        <v>0</v>
      </c>
      <c r="AU11" s="8">
        <f t="shared" si="4"/>
        <v>0</v>
      </c>
      <c r="AV11" s="18"/>
      <c r="AW11" s="23">
        <f t="shared" si="10"/>
        <v>2856600.0000000005</v>
      </c>
      <c r="AX11" s="23">
        <f t="shared" si="18"/>
        <v>0</v>
      </c>
      <c r="AY11" s="8">
        <f t="shared" si="11"/>
        <v>0</v>
      </c>
      <c r="AZ11" s="23"/>
      <c r="BA11">
        <f t="shared" si="12"/>
        <v>6</v>
      </c>
      <c r="BB11" s="18">
        <f t="shared" si="5"/>
        <v>0</v>
      </c>
      <c r="BC11">
        <f t="shared" si="13"/>
        <v>0</v>
      </c>
      <c r="BD11">
        <f t="shared" si="6"/>
        <v>0</v>
      </c>
      <c r="BF11">
        <f t="shared" si="14"/>
        <v>6</v>
      </c>
      <c r="BG11" s="18">
        <f t="shared" si="15"/>
        <v>0</v>
      </c>
      <c r="BH11" s="18">
        <f t="shared" si="16"/>
        <v>0</v>
      </c>
      <c r="BJ11">
        <v>6</v>
      </c>
      <c r="BK11" s="8">
        <f t="shared" si="19"/>
        <v>0</v>
      </c>
      <c r="BL11" s="8"/>
      <c r="BM11" s="57">
        <v>6</v>
      </c>
      <c r="BN11" s="8">
        <f t="shared" si="20"/>
        <v>0</v>
      </c>
    </row>
    <row r="12" spans="1:66" x14ac:dyDescent="0.3">
      <c r="A12">
        <v>7</v>
      </c>
      <c r="B12" s="18">
        <f>'A01'!$H10</f>
        <v>0</v>
      </c>
      <c r="C12" s="18">
        <f>'A02'!$H10</f>
        <v>0</v>
      </c>
      <c r="D12" s="18">
        <f>'A03'!$H10</f>
        <v>0</v>
      </c>
      <c r="E12" s="18">
        <f>'A04'!$H10</f>
        <v>0</v>
      </c>
      <c r="F12" s="18">
        <f>'A05'!$H10</f>
        <v>0</v>
      </c>
      <c r="G12" s="18">
        <f>'A06'!$H10</f>
        <v>0</v>
      </c>
      <c r="H12" s="18">
        <f>'A07'!$H10</f>
        <v>0</v>
      </c>
      <c r="I12" s="18">
        <f>'A08'!$H10</f>
        <v>0</v>
      </c>
      <c r="J12" s="18">
        <f>'A09'!$H10</f>
        <v>0</v>
      </c>
      <c r="K12" s="18">
        <f>'B01'!$H10</f>
        <v>0</v>
      </c>
      <c r="L12" s="18">
        <f>'B02'!$H10</f>
        <v>0</v>
      </c>
      <c r="M12" s="18">
        <f>'B03'!$H10</f>
        <v>0</v>
      </c>
      <c r="N12" s="18">
        <f>'B04'!$H10</f>
        <v>0</v>
      </c>
      <c r="O12" s="18">
        <f>'B05'!$H10</f>
        <v>0</v>
      </c>
      <c r="P12" s="18">
        <f>'B06'!$H10</f>
        <v>0</v>
      </c>
      <c r="Q12" s="18">
        <f>'B07'!$H10</f>
        <v>0</v>
      </c>
      <c r="R12" s="18">
        <f>'B08'!$H10</f>
        <v>0</v>
      </c>
      <c r="S12" s="18">
        <f>'B09'!$H10</f>
        <v>0</v>
      </c>
      <c r="T12" s="18">
        <f>'C01'!$H10</f>
        <v>0</v>
      </c>
      <c r="U12" s="18">
        <f>'C02'!$H10</f>
        <v>0</v>
      </c>
      <c r="V12" s="18">
        <f>'C03'!$H10</f>
        <v>0</v>
      </c>
      <c r="W12" s="18">
        <f>'C04'!$H10</f>
        <v>0</v>
      </c>
      <c r="X12" s="18">
        <f>'C05'!$H10</f>
        <v>0</v>
      </c>
      <c r="Y12" s="18">
        <f>'C06'!$H10</f>
        <v>0</v>
      </c>
      <c r="Z12" s="18">
        <f>'C07'!$H10</f>
        <v>0</v>
      </c>
      <c r="AA12" s="18">
        <f>'C08'!$H10</f>
        <v>0</v>
      </c>
      <c r="AB12" s="18">
        <f>'C09'!$H10</f>
        <v>0</v>
      </c>
      <c r="AC12" s="18">
        <f>'D01'!H10</f>
        <v>0</v>
      </c>
      <c r="AD12" s="18">
        <f>'E01'!H10</f>
        <v>0</v>
      </c>
      <c r="AE12" s="18">
        <f>'F01'!H10</f>
        <v>0</v>
      </c>
      <c r="AF12" s="18">
        <f>'G01'!H14</f>
        <v>0</v>
      </c>
      <c r="AG12" s="18"/>
      <c r="AH12" s="18">
        <f t="shared" si="1"/>
        <v>0</v>
      </c>
      <c r="AI12" s="18">
        <v>0</v>
      </c>
      <c r="AJ12" s="18">
        <f t="shared" si="2"/>
        <v>0</v>
      </c>
      <c r="AK12" s="18">
        <f t="shared" si="21"/>
        <v>0</v>
      </c>
      <c r="AL12" s="18"/>
      <c r="AM12" s="18">
        <f t="shared" si="17"/>
        <v>0</v>
      </c>
      <c r="AN12" s="8">
        <f t="shared" si="3"/>
        <v>0</v>
      </c>
      <c r="AO12" s="18"/>
      <c r="AP12" s="7">
        <f t="shared" si="7"/>
        <v>50399.999999999993</v>
      </c>
      <c r="AQ12" s="8">
        <f t="shared" si="8"/>
        <v>0</v>
      </c>
      <c r="AR12" s="8">
        <f t="shared" si="9"/>
        <v>0</v>
      </c>
      <c r="AS12" s="23"/>
      <c r="AT12" s="18">
        <f t="shared" si="22"/>
        <v>0</v>
      </c>
      <c r="AU12" s="8">
        <f t="shared" si="4"/>
        <v>0</v>
      </c>
      <c r="AV12" s="18"/>
      <c r="AW12" s="23">
        <f t="shared" si="10"/>
        <v>3332700.0000000005</v>
      </c>
      <c r="AX12" s="23">
        <f t="shared" si="18"/>
        <v>0</v>
      </c>
      <c r="AY12" s="8">
        <f t="shared" si="11"/>
        <v>0</v>
      </c>
      <c r="AZ12" s="23"/>
      <c r="BA12">
        <f t="shared" si="12"/>
        <v>7</v>
      </c>
      <c r="BB12" s="18">
        <f t="shared" si="5"/>
        <v>0</v>
      </c>
      <c r="BC12">
        <f t="shared" si="13"/>
        <v>0</v>
      </c>
      <c r="BD12">
        <f t="shared" si="6"/>
        <v>0</v>
      </c>
      <c r="BF12">
        <f t="shared" si="14"/>
        <v>7</v>
      </c>
      <c r="BG12" s="18">
        <f t="shared" si="15"/>
        <v>0</v>
      </c>
      <c r="BH12" s="18">
        <f t="shared" si="16"/>
        <v>0</v>
      </c>
      <c r="BJ12">
        <v>7</v>
      </c>
      <c r="BK12" s="8">
        <f t="shared" si="19"/>
        <v>0</v>
      </c>
      <c r="BL12" s="8"/>
      <c r="BM12" s="57">
        <v>7</v>
      </c>
      <c r="BN12" s="8">
        <f t="shared" si="20"/>
        <v>0</v>
      </c>
    </row>
    <row r="13" spans="1:66" x14ac:dyDescent="0.3">
      <c r="A13">
        <v>8</v>
      </c>
      <c r="B13" s="18">
        <f>'A01'!$H11</f>
        <v>0</v>
      </c>
      <c r="C13" s="18">
        <f>'A02'!$H11</f>
        <v>0</v>
      </c>
      <c r="D13" s="18">
        <f>'A03'!$H11</f>
        <v>0</v>
      </c>
      <c r="E13" s="18">
        <f>'A04'!$H11</f>
        <v>0</v>
      </c>
      <c r="F13" s="18">
        <f>'A05'!$H11</f>
        <v>0</v>
      </c>
      <c r="G13" s="18">
        <f>'A06'!$H11</f>
        <v>0</v>
      </c>
      <c r="H13" s="18">
        <f>'A07'!$H11</f>
        <v>0</v>
      </c>
      <c r="I13" s="18">
        <f>'A08'!$H11</f>
        <v>0</v>
      </c>
      <c r="J13" s="18">
        <f>'A09'!$H11</f>
        <v>0</v>
      </c>
      <c r="K13" s="18">
        <f>'B01'!$H11</f>
        <v>0</v>
      </c>
      <c r="L13" s="18">
        <f>'B02'!$H11</f>
        <v>0</v>
      </c>
      <c r="M13" s="18">
        <f>'B03'!$H11</f>
        <v>0</v>
      </c>
      <c r="N13" s="18">
        <f>'B04'!$H11</f>
        <v>0</v>
      </c>
      <c r="O13" s="18">
        <f>'B05'!$H11</f>
        <v>0</v>
      </c>
      <c r="P13" s="18">
        <f>'B06'!$H11</f>
        <v>0</v>
      </c>
      <c r="Q13" s="18">
        <f>'B07'!$H11</f>
        <v>0</v>
      </c>
      <c r="R13" s="18">
        <f>'B08'!$H11</f>
        <v>0</v>
      </c>
      <c r="S13" s="18">
        <f>'B09'!$H11</f>
        <v>0</v>
      </c>
      <c r="T13" s="18">
        <f>'C01'!$H11</f>
        <v>0</v>
      </c>
      <c r="U13" s="18">
        <f>'C02'!$H11</f>
        <v>0</v>
      </c>
      <c r="V13" s="18">
        <f>'C03'!$H11</f>
        <v>0</v>
      </c>
      <c r="W13" s="18">
        <f>'C04'!$H11</f>
        <v>0</v>
      </c>
      <c r="X13" s="18">
        <f>'C05'!$H11</f>
        <v>0</v>
      </c>
      <c r="Y13" s="18">
        <f>'C06'!$H11</f>
        <v>0</v>
      </c>
      <c r="Z13" s="18">
        <f>'C07'!$H11</f>
        <v>0</v>
      </c>
      <c r="AA13" s="18">
        <f>'C08'!$H11</f>
        <v>0</v>
      </c>
      <c r="AB13" s="18">
        <f>'C09'!$H11</f>
        <v>0</v>
      </c>
      <c r="AC13" s="18">
        <f>'D01'!H11</f>
        <v>0</v>
      </c>
      <c r="AD13" s="18">
        <f>'E01'!H11</f>
        <v>0</v>
      </c>
      <c r="AE13" s="18">
        <f>'F01'!H11</f>
        <v>0</v>
      </c>
      <c r="AF13" s="18">
        <f>'G01'!H15</f>
        <v>0</v>
      </c>
      <c r="AG13" s="18"/>
      <c r="AH13" s="18">
        <f>SQRT(SUMSQ(B13:AF13))</f>
        <v>0</v>
      </c>
      <c r="AI13" s="18">
        <v>0</v>
      </c>
      <c r="AJ13" s="18">
        <f t="shared" si="2"/>
        <v>0</v>
      </c>
      <c r="AK13" s="18">
        <f t="shared" si="21"/>
        <v>0</v>
      </c>
      <c r="AL13" s="18"/>
      <c r="AM13" s="18">
        <f t="shared" si="17"/>
        <v>0</v>
      </c>
      <c r="AN13" s="8">
        <f t="shared" si="3"/>
        <v>0</v>
      </c>
      <c r="AO13" s="18"/>
      <c r="AP13" s="7">
        <f t="shared" si="7"/>
        <v>57599.999999999993</v>
      </c>
      <c r="AQ13" s="8">
        <f t="shared" si="8"/>
        <v>0</v>
      </c>
      <c r="AR13" s="8">
        <f t="shared" si="9"/>
        <v>0</v>
      </c>
      <c r="AS13" s="23"/>
      <c r="AT13" s="18">
        <f t="shared" si="22"/>
        <v>0</v>
      </c>
      <c r="AU13" s="8">
        <f t="shared" si="4"/>
        <v>0</v>
      </c>
      <c r="AV13" s="18"/>
      <c r="AW13" s="23">
        <f t="shared" si="10"/>
        <v>3808800.0000000005</v>
      </c>
      <c r="AX13" s="23">
        <f t="shared" si="18"/>
        <v>0</v>
      </c>
      <c r="AY13" s="8">
        <f t="shared" si="11"/>
        <v>0</v>
      </c>
      <c r="AZ13" s="23"/>
      <c r="BA13">
        <f t="shared" si="12"/>
        <v>8</v>
      </c>
      <c r="BB13" s="18">
        <f t="shared" si="5"/>
        <v>0</v>
      </c>
      <c r="BC13">
        <f t="shared" si="13"/>
        <v>0</v>
      </c>
      <c r="BD13">
        <f t="shared" si="6"/>
        <v>0</v>
      </c>
      <c r="BF13">
        <f t="shared" si="14"/>
        <v>8</v>
      </c>
      <c r="BG13" s="18">
        <f t="shared" si="15"/>
        <v>0</v>
      </c>
      <c r="BH13" s="18">
        <f t="shared" si="16"/>
        <v>0</v>
      </c>
      <c r="BJ13">
        <v>8</v>
      </c>
      <c r="BK13" s="8">
        <f t="shared" si="19"/>
        <v>0</v>
      </c>
      <c r="BL13" s="8"/>
      <c r="BM13" s="57">
        <v>8</v>
      </c>
      <c r="BN13" s="8">
        <f t="shared" si="20"/>
        <v>0</v>
      </c>
    </row>
    <row r="14" spans="1:66" x14ac:dyDescent="0.3">
      <c r="A14">
        <v>9</v>
      </c>
      <c r="B14" s="18">
        <f>'A01'!$H12</f>
        <v>0</v>
      </c>
      <c r="C14" s="18">
        <f>'A02'!$H12</f>
        <v>0</v>
      </c>
      <c r="D14" s="18">
        <f>'A03'!$H12</f>
        <v>0</v>
      </c>
      <c r="E14" s="18">
        <f>'A04'!$H12</f>
        <v>0</v>
      </c>
      <c r="F14" s="18">
        <f>'A05'!$H12</f>
        <v>0</v>
      </c>
      <c r="G14" s="18">
        <f>'A06'!$H12</f>
        <v>0</v>
      </c>
      <c r="H14" s="18">
        <f>'A07'!$H12</f>
        <v>0</v>
      </c>
      <c r="I14" s="18">
        <f>'A08'!$H12</f>
        <v>0</v>
      </c>
      <c r="J14" s="18">
        <f>'A09'!$H12</f>
        <v>0</v>
      </c>
      <c r="K14" s="18">
        <f>'B01'!$H12</f>
        <v>0</v>
      </c>
      <c r="L14" s="18">
        <f>'B02'!$H12</f>
        <v>0</v>
      </c>
      <c r="M14" s="18">
        <f>'B03'!$H12</f>
        <v>0</v>
      </c>
      <c r="N14" s="18">
        <f>'B04'!$H12</f>
        <v>0</v>
      </c>
      <c r="O14" s="18">
        <f>'B05'!$H12</f>
        <v>0</v>
      </c>
      <c r="P14" s="18">
        <f>'B06'!$H12</f>
        <v>0</v>
      </c>
      <c r="Q14" s="18">
        <f>'B07'!$H12</f>
        <v>0</v>
      </c>
      <c r="R14" s="18">
        <f>'B08'!$H12</f>
        <v>0</v>
      </c>
      <c r="S14" s="18">
        <f>'B09'!$H12</f>
        <v>0</v>
      </c>
      <c r="T14" s="18">
        <f>'C01'!$H12</f>
        <v>0</v>
      </c>
      <c r="U14" s="18">
        <f>'C02'!$H12</f>
        <v>0</v>
      </c>
      <c r="V14" s="18">
        <f>'C03'!$H12</f>
        <v>0</v>
      </c>
      <c r="W14" s="18">
        <f>'C04'!$H12</f>
        <v>0</v>
      </c>
      <c r="X14" s="18">
        <f>'C05'!$H12</f>
        <v>0</v>
      </c>
      <c r="Y14" s="18">
        <f>'C06'!$H12</f>
        <v>0</v>
      </c>
      <c r="Z14" s="18">
        <f>'C07'!$H12</f>
        <v>0</v>
      </c>
      <c r="AA14" s="18">
        <f>'C08'!$H12</f>
        <v>0</v>
      </c>
      <c r="AB14" s="18">
        <f>'C09'!$H12</f>
        <v>0</v>
      </c>
      <c r="AC14" s="18">
        <f>'D01'!H12</f>
        <v>0</v>
      </c>
      <c r="AD14" s="18">
        <f>'E01'!H12</f>
        <v>0</v>
      </c>
      <c r="AE14" s="18">
        <f>'F01'!H12</f>
        <v>0</v>
      </c>
      <c r="AF14" s="18">
        <f>'G01'!H16</f>
        <v>0</v>
      </c>
      <c r="AH14" s="18">
        <f t="shared" ref="AH14:AH77" si="23">SQRT(SUMSQ(B14:AF14))</f>
        <v>0</v>
      </c>
      <c r="AI14" s="18">
        <v>0</v>
      </c>
      <c r="AJ14" s="18">
        <f>SUM(AH14:AI14)</f>
        <v>0</v>
      </c>
      <c r="AK14" s="18">
        <f>AK$3*AH14</f>
        <v>0</v>
      </c>
      <c r="AL14" s="18"/>
      <c r="AM14" s="18">
        <f t="shared" si="17"/>
        <v>0</v>
      </c>
      <c r="AN14" s="8">
        <f t="shared" si="3"/>
        <v>0</v>
      </c>
      <c r="AO14" s="18"/>
      <c r="AP14" s="7">
        <f t="shared" si="7"/>
        <v>64799.999999999993</v>
      </c>
      <c r="AQ14" s="8">
        <f t="shared" si="8"/>
        <v>0</v>
      </c>
      <c r="AR14" s="8">
        <f t="shared" si="9"/>
        <v>0</v>
      </c>
      <c r="AS14" s="23"/>
      <c r="AT14" s="497">
        <f>AT114*AM14/AT$3</f>
        <v>0</v>
      </c>
      <c r="AU14" s="8">
        <f t="shared" si="4"/>
        <v>0</v>
      </c>
      <c r="AV14" s="18"/>
      <c r="AW14" s="23">
        <f t="shared" si="10"/>
        <v>4284900.0000000009</v>
      </c>
      <c r="AX14" s="23">
        <f t="shared" si="18"/>
        <v>0</v>
      </c>
      <c r="AY14" s="8">
        <f t="shared" si="11"/>
        <v>0</v>
      </c>
      <c r="AZ14" s="23"/>
      <c r="BA14">
        <f t="shared" si="12"/>
        <v>9</v>
      </c>
      <c r="BB14" s="18">
        <f t="shared" si="5"/>
        <v>0</v>
      </c>
      <c r="BC14">
        <f t="shared" si="13"/>
        <v>0</v>
      </c>
      <c r="BD14">
        <f t="shared" si="6"/>
        <v>0</v>
      </c>
      <c r="BF14">
        <f t="shared" si="14"/>
        <v>9</v>
      </c>
      <c r="BG14" s="18">
        <f t="shared" si="15"/>
        <v>0</v>
      </c>
      <c r="BH14" s="18">
        <f t="shared" si="16"/>
        <v>0</v>
      </c>
      <c r="BJ14">
        <v>9</v>
      </c>
      <c r="BK14" s="8">
        <f t="shared" si="19"/>
        <v>0</v>
      </c>
      <c r="BL14" s="8"/>
      <c r="BM14" s="57">
        <v>9</v>
      </c>
      <c r="BN14" s="8">
        <f t="shared" si="20"/>
        <v>0</v>
      </c>
    </row>
    <row r="15" spans="1:66" x14ac:dyDescent="0.3">
      <c r="A15">
        <v>10</v>
      </c>
      <c r="B15" s="18">
        <f>'A01'!$H13</f>
        <v>0</v>
      </c>
      <c r="C15" s="18">
        <f>'A02'!$H13</f>
        <v>0</v>
      </c>
      <c r="D15" s="18">
        <f>'A03'!$H13</f>
        <v>0</v>
      </c>
      <c r="E15" s="18">
        <f>'A04'!$H13</f>
        <v>0</v>
      </c>
      <c r="F15" s="18">
        <f>'A05'!$H13</f>
        <v>0</v>
      </c>
      <c r="G15" s="18">
        <f>'A06'!$H13</f>
        <v>0</v>
      </c>
      <c r="H15" s="18">
        <f>'A07'!$H13</f>
        <v>0</v>
      </c>
      <c r="I15" s="18">
        <f>'A08'!$H13</f>
        <v>0</v>
      </c>
      <c r="J15" s="18">
        <f>'A09'!$H13</f>
        <v>0</v>
      </c>
      <c r="K15" s="18">
        <f>'B01'!$H13</f>
        <v>0</v>
      </c>
      <c r="L15" s="18">
        <f>'B02'!$H13</f>
        <v>0</v>
      </c>
      <c r="M15" s="18">
        <f>'B03'!$H13</f>
        <v>0</v>
      </c>
      <c r="N15" s="18">
        <f>'B04'!$H13</f>
        <v>0</v>
      </c>
      <c r="O15" s="18">
        <f>'B05'!$H13</f>
        <v>0</v>
      </c>
      <c r="P15" s="18">
        <f>'B06'!$H13</f>
        <v>0</v>
      </c>
      <c r="Q15" s="18">
        <f>'B07'!$H13</f>
        <v>0</v>
      </c>
      <c r="R15" s="18">
        <f>'B08'!$H13</f>
        <v>0</v>
      </c>
      <c r="S15" s="18">
        <f>'B09'!$H13</f>
        <v>0</v>
      </c>
      <c r="T15" s="18">
        <f>'C01'!$H13</f>
        <v>0</v>
      </c>
      <c r="U15" s="18">
        <f>'C02'!$H13</f>
        <v>0</v>
      </c>
      <c r="V15" s="18">
        <f>'C03'!$H13</f>
        <v>0</v>
      </c>
      <c r="W15" s="18">
        <f>'C04'!$H13</f>
        <v>0</v>
      </c>
      <c r="X15" s="18">
        <f>'C05'!$H13</f>
        <v>0</v>
      </c>
      <c r="Y15" s="18">
        <f>'C06'!$H13</f>
        <v>0</v>
      </c>
      <c r="Z15" s="18">
        <f>'C07'!$H13</f>
        <v>0</v>
      </c>
      <c r="AA15" s="18">
        <f>'C08'!$H13</f>
        <v>0</v>
      </c>
      <c r="AB15" s="18">
        <f>'C09'!$H13</f>
        <v>0</v>
      </c>
      <c r="AC15" s="18">
        <f>'D01'!H13</f>
        <v>0</v>
      </c>
      <c r="AD15" s="18">
        <f>'E01'!H13</f>
        <v>0</v>
      </c>
      <c r="AE15" s="18">
        <f>'F01'!H13</f>
        <v>0</v>
      </c>
      <c r="AF15" s="18">
        <f>'G01'!H17</f>
        <v>0</v>
      </c>
      <c r="AG15" s="18"/>
      <c r="AH15" s="18">
        <f t="shared" si="23"/>
        <v>0</v>
      </c>
      <c r="AI15" s="18">
        <v>0</v>
      </c>
      <c r="AJ15" s="18">
        <f t="shared" si="2"/>
        <v>0</v>
      </c>
      <c r="AK15" s="18">
        <f t="shared" si="21"/>
        <v>0</v>
      </c>
      <c r="AL15" s="18"/>
      <c r="AM15" s="18">
        <f t="shared" si="17"/>
        <v>0</v>
      </c>
      <c r="AN15" s="8">
        <f t="shared" si="3"/>
        <v>0</v>
      </c>
      <c r="AO15" s="18"/>
      <c r="AP15" s="7">
        <f t="shared" si="7"/>
        <v>71999.999999999985</v>
      </c>
      <c r="AQ15" s="8">
        <f t="shared" si="8"/>
        <v>0</v>
      </c>
      <c r="AR15" s="8">
        <f t="shared" si="9"/>
        <v>0</v>
      </c>
      <c r="AS15" s="23"/>
      <c r="AT15" s="18">
        <f t="shared" si="22"/>
        <v>0</v>
      </c>
      <c r="AU15" s="8">
        <f t="shared" si="4"/>
        <v>0</v>
      </c>
      <c r="AV15" s="18"/>
      <c r="AW15" s="23">
        <f t="shared" si="10"/>
        <v>4761000.0000000009</v>
      </c>
      <c r="AX15" s="23">
        <f t="shared" si="18"/>
        <v>0</v>
      </c>
      <c r="AY15" s="8">
        <f t="shared" si="11"/>
        <v>0</v>
      </c>
      <c r="AZ15" s="23"/>
      <c r="BA15">
        <f t="shared" si="12"/>
        <v>10</v>
      </c>
      <c r="BB15" s="18">
        <f t="shared" si="5"/>
        <v>0</v>
      </c>
      <c r="BC15">
        <f t="shared" si="13"/>
        <v>0</v>
      </c>
      <c r="BD15">
        <f t="shared" si="6"/>
        <v>0</v>
      </c>
      <c r="BF15">
        <f t="shared" si="14"/>
        <v>10</v>
      </c>
      <c r="BG15" s="18">
        <f t="shared" si="15"/>
        <v>0</v>
      </c>
      <c r="BH15" s="18">
        <f t="shared" si="16"/>
        <v>0</v>
      </c>
      <c r="BJ15">
        <v>10</v>
      </c>
      <c r="BK15" s="8">
        <f t="shared" si="19"/>
        <v>0</v>
      </c>
      <c r="BL15" s="8"/>
      <c r="BM15" s="57">
        <v>10</v>
      </c>
      <c r="BN15" s="8">
        <f t="shared" si="20"/>
        <v>0</v>
      </c>
    </row>
    <row r="16" spans="1:66" x14ac:dyDescent="0.3">
      <c r="A16">
        <v>11</v>
      </c>
      <c r="B16" s="18">
        <f>'A01'!$H14</f>
        <v>0</v>
      </c>
      <c r="C16" s="18">
        <f>'A02'!$H14</f>
        <v>0</v>
      </c>
      <c r="D16" s="18">
        <f>'A03'!$H14</f>
        <v>0</v>
      </c>
      <c r="E16" s="18">
        <f>'A04'!$H14</f>
        <v>0</v>
      </c>
      <c r="F16" s="18">
        <f>'A05'!$H14</f>
        <v>0</v>
      </c>
      <c r="G16" s="18">
        <f>'A06'!$H14</f>
        <v>0</v>
      </c>
      <c r="H16" s="18">
        <f>'A07'!$H14</f>
        <v>0</v>
      </c>
      <c r="I16" s="18">
        <f>'A08'!$H14</f>
        <v>0</v>
      </c>
      <c r="J16" s="18">
        <f>'A09'!$H14</f>
        <v>0</v>
      </c>
      <c r="K16" s="18">
        <f>'B01'!$H14</f>
        <v>0</v>
      </c>
      <c r="L16" s="18">
        <f>'B02'!$H14</f>
        <v>0</v>
      </c>
      <c r="M16" s="18">
        <f>'B03'!$H14</f>
        <v>0</v>
      </c>
      <c r="N16" s="18">
        <f>'B04'!$H14</f>
        <v>0</v>
      </c>
      <c r="O16" s="18">
        <f>'B05'!$H14</f>
        <v>0</v>
      </c>
      <c r="P16" s="18">
        <f>'B06'!$H14</f>
        <v>0</v>
      </c>
      <c r="Q16" s="18">
        <f>'B07'!$H14</f>
        <v>0</v>
      </c>
      <c r="R16" s="18">
        <f>'B08'!$H14</f>
        <v>0</v>
      </c>
      <c r="S16" s="18">
        <f>'B09'!$H14</f>
        <v>0</v>
      </c>
      <c r="T16" s="18">
        <f>'C01'!$H14</f>
        <v>0</v>
      </c>
      <c r="U16" s="18">
        <f>'C02'!$H14</f>
        <v>0</v>
      </c>
      <c r="V16" s="18">
        <f>'C03'!$H14</f>
        <v>0</v>
      </c>
      <c r="W16" s="18">
        <f>'C04'!$H14</f>
        <v>0</v>
      </c>
      <c r="X16" s="18">
        <f>'C05'!$H14</f>
        <v>0</v>
      </c>
      <c r="Y16" s="18">
        <f>'C06'!$H14</f>
        <v>0</v>
      </c>
      <c r="Z16" s="18">
        <f>'C07'!$H14</f>
        <v>0</v>
      </c>
      <c r="AA16" s="18">
        <f>'C08'!$H14</f>
        <v>0</v>
      </c>
      <c r="AB16" s="18">
        <f>'C09'!$H14</f>
        <v>0</v>
      </c>
      <c r="AC16" s="18">
        <f>'D01'!H14</f>
        <v>0</v>
      </c>
      <c r="AD16" s="18">
        <f>'E01'!H14</f>
        <v>0</v>
      </c>
      <c r="AE16" s="18">
        <f>'F01'!H14</f>
        <v>0</v>
      </c>
      <c r="AF16" s="18">
        <f>'G01'!H18</f>
        <v>0</v>
      </c>
      <c r="AG16" s="18"/>
      <c r="AH16" s="18">
        <f t="shared" si="23"/>
        <v>0</v>
      </c>
      <c r="AI16" s="18">
        <v>0</v>
      </c>
      <c r="AJ16" s="18">
        <f t="shared" si="2"/>
        <v>0</v>
      </c>
      <c r="AK16" s="18">
        <f t="shared" si="21"/>
        <v>0</v>
      </c>
      <c r="AL16" s="18"/>
      <c r="AM16" s="18">
        <f t="shared" si="17"/>
        <v>0</v>
      </c>
      <c r="AN16" s="8">
        <f t="shared" si="3"/>
        <v>0</v>
      </c>
      <c r="AO16" s="18"/>
      <c r="AP16" s="7">
        <f t="shared" si="7"/>
        <v>79199.999999999985</v>
      </c>
      <c r="AQ16" s="8">
        <f t="shared" si="8"/>
        <v>0</v>
      </c>
      <c r="AR16" s="8">
        <f t="shared" si="9"/>
        <v>0</v>
      </c>
      <c r="AS16" s="23"/>
      <c r="AT16" s="18">
        <f t="shared" si="22"/>
        <v>0</v>
      </c>
      <c r="AU16" s="8">
        <f t="shared" si="4"/>
        <v>0</v>
      </c>
      <c r="AV16" s="18"/>
      <c r="AW16" s="23">
        <f t="shared" si="10"/>
        <v>5237100.0000000009</v>
      </c>
      <c r="AX16" s="23">
        <f t="shared" si="18"/>
        <v>0</v>
      </c>
      <c r="AY16" s="8">
        <f t="shared" si="11"/>
        <v>0</v>
      </c>
      <c r="AZ16" s="23"/>
      <c r="BA16">
        <f t="shared" si="12"/>
        <v>11</v>
      </c>
      <c r="BB16" s="18">
        <f t="shared" si="5"/>
        <v>0</v>
      </c>
      <c r="BC16">
        <f t="shared" si="13"/>
        <v>0</v>
      </c>
      <c r="BD16">
        <f t="shared" si="6"/>
        <v>0</v>
      </c>
      <c r="BF16">
        <f t="shared" si="14"/>
        <v>11</v>
      </c>
      <c r="BG16" s="18">
        <f t="shared" si="15"/>
        <v>0</v>
      </c>
      <c r="BH16" s="18">
        <f t="shared" si="16"/>
        <v>0</v>
      </c>
      <c r="BJ16">
        <v>11</v>
      </c>
      <c r="BK16" s="8">
        <f t="shared" si="19"/>
        <v>0</v>
      </c>
      <c r="BL16" s="8"/>
      <c r="BM16" s="57">
        <v>11</v>
      </c>
      <c r="BN16" s="8">
        <f t="shared" si="20"/>
        <v>0</v>
      </c>
    </row>
    <row r="17" spans="1:66" x14ac:dyDescent="0.3">
      <c r="A17">
        <v>12</v>
      </c>
      <c r="B17" s="18">
        <f>'A01'!$H15</f>
        <v>0</v>
      </c>
      <c r="C17" s="18">
        <f>'A02'!$H15</f>
        <v>0</v>
      </c>
      <c r="D17" s="18">
        <f>'A03'!$H15</f>
        <v>0</v>
      </c>
      <c r="E17" s="18">
        <f>'A04'!$H15</f>
        <v>0</v>
      </c>
      <c r="F17" s="18">
        <f>'A05'!$H15</f>
        <v>0</v>
      </c>
      <c r="G17" s="18">
        <f>'A06'!$H15</f>
        <v>0</v>
      </c>
      <c r="H17" s="18">
        <f>'A07'!$H15</f>
        <v>0</v>
      </c>
      <c r="I17" s="18">
        <f>'A08'!$H15</f>
        <v>0</v>
      </c>
      <c r="J17" s="18">
        <f>'A09'!$H15</f>
        <v>0</v>
      </c>
      <c r="K17" s="18">
        <f>'B01'!$H15</f>
        <v>0</v>
      </c>
      <c r="L17" s="18">
        <f>'B02'!$H15</f>
        <v>0</v>
      </c>
      <c r="M17" s="18">
        <f>'B03'!$H15</f>
        <v>0</v>
      </c>
      <c r="N17" s="18">
        <f>'B04'!$H15</f>
        <v>0</v>
      </c>
      <c r="O17" s="18">
        <f>'B05'!$H15</f>
        <v>0</v>
      </c>
      <c r="P17" s="18">
        <f>'B06'!$H15</f>
        <v>0</v>
      </c>
      <c r="Q17" s="18">
        <f>'B07'!$H15</f>
        <v>0</v>
      </c>
      <c r="R17" s="18">
        <f>'B08'!$H15</f>
        <v>0</v>
      </c>
      <c r="S17" s="18">
        <f>'B09'!$H15</f>
        <v>0</v>
      </c>
      <c r="T17" s="18">
        <f>'C01'!$H15</f>
        <v>0</v>
      </c>
      <c r="U17" s="18">
        <f>'C02'!$H15</f>
        <v>0</v>
      </c>
      <c r="V17" s="18">
        <f>'C03'!$H15</f>
        <v>0</v>
      </c>
      <c r="W17" s="18">
        <f>'C04'!$H15</f>
        <v>0</v>
      </c>
      <c r="X17" s="18">
        <f>'C05'!$H15</f>
        <v>0</v>
      </c>
      <c r="Y17" s="18">
        <f>'C06'!$H15</f>
        <v>0</v>
      </c>
      <c r="Z17" s="18">
        <f>'C07'!$H15</f>
        <v>0</v>
      </c>
      <c r="AA17" s="18">
        <f>'C08'!$H15</f>
        <v>0</v>
      </c>
      <c r="AB17" s="18">
        <f>'C09'!$H15</f>
        <v>0</v>
      </c>
      <c r="AC17" s="18">
        <f>'D01'!H15</f>
        <v>0</v>
      </c>
      <c r="AD17" s="18">
        <f>'E01'!H15</f>
        <v>0</v>
      </c>
      <c r="AE17" s="18">
        <f>'F01'!H15</f>
        <v>0</v>
      </c>
      <c r="AF17" s="18">
        <f>'G01'!H19</f>
        <v>0</v>
      </c>
      <c r="AH17" s="18">
        <f t="shared" si="23"/>
        <v>0</v>
      </c>
      <c r="AI17" s="18">
        <v>0</v>
      </c>
      <c r="AJ17" s="18">
        <f>SUM(AH17:AI17)</f>
        <v>0</v>
      </c>
      <c r="AK17" s="18">
        <f>AK$3*AH17</f>
        <v>0</v>
      </c>
      <c r="AL17" s="18"/>
      <c r="AM17" s="18">
        <f t="shared" si="17"/>
        <v>0</v>
      </c>
      <c r="AN17" s="8">
        <f t="shared" si="3"/>
        <v>0</v>
      </c>
      <c r="AO17" s="18"/>
      <c r="AP17" s="7">
        <f t="shared" si="7"/>
        <v>86399.999999999985</v>
      </c>
      <c r="AQ17" s="8">
        <f t="shared" si="8"/>
        <v>0</v>
      </c>
      <c r="AR17" s="8">
        <f t="shared" si="9"/>
        <v>0</v>
      </c>
      <c r="AS17" s="23"/>
      <c r="AT17" s="497">
        <f>AT114*AM17/AT$3</f>
        <v>0</v>
      </c>
      <c r="AU17" s="8">
        <f t="shared" si="4"/>
        <v>0</v>
      </c>
      <c r="AV17" s="18"/>
      <c r="AW17" s="23">
        <f t="shared" si="10"/>
        <v>5713200.0000000009</v>
      </c>
      <c r="AX17" s="23">
        <f t="shared" si="18"/>
        <v>0</v>
      </c>
      <c r="AY17" s="8">
        <f t="shared" si="11"/>
        <v>0</v>
      </c>
      <c r="AZ17" s="23"/>
      <c r="BA17">
        <f t="shared" si="12"/>
        <v>12</v>
      </c>
      <c r="BB17" s="18">
        <f t="shared" si="5"/>
        <v>0</v>
      </c>
      <c r="BC17">
        <f t="shared" si="13"/>
        <v>0</v>
      </c>
      <c r="BD17">
        <f t="shared" si="6"/>
        <v>0</v>
      </c>
      <c r="BF17">
        <f t="shared" si="14"/>
        <v>12</v>
      </c>
      <c r="BG17" s="18">
        <f t="shared" si="15"/>
        <v>0</v>
      </c>
      <c r="BH17" s="18">
        <f t="shared" si="16"/>
        <v>0</v>
      </c>
      <c r="BJ17">
        <v>12</v>
      </c>
      <c r="BK17" s="8">
        <f t="shared" si="19"/>
        <v>0</v>
      </c>
      <c r="BL17" s="8"/>
      <c r="BM17" s="57">
        <v>12</v>
      </c>
      <c r="BN17" s="8">
        <f t="shared" si="20"/>
        <v>0</v>
      </c>
    </row>
    <row r="18" spans="1:66" x14ac:dyDescent="0.3">
      <c r="A18">
        <v>13</v>
      </c>
      <c r="B18" s="18">
        <f>'A01'!$H16</f>
        <v>0</v>
      </c>
      <c r="C18" s="18">
        <f>'A02'!$H16</f>
        <v>0</v>
      </c>
      <c r="D18" s="18">
        <f>'A03'!$H16</f>
        <v>0</v>
      </c>
      <c r="E18" s="18">
        <f>'A04'!$H16</f>
        <v>0</v>
      </c>
      <c r="F18" s="18">
        <f>'A05'!$H16</f>
        <v>0</v>
      </c>
      <c r="G18" s="18">
        <f>'A06'!$H16</f>
        <v>0</v>
      </c>
      <c r="H18" s="18">
        <f>'A07'!$H16</f>
        <v>0</v>
      </c>
      <c r="I18" s="18">
        <f>'A08'!$H16</f>
        <v>0</v>
      </c>
      <c r="J18" s="18">
        <f>'A09'!$H16</f>
        <v>0</v>
      </c>
      <c r="K18" s="18">
        <f>'B01'!$H16</f>
        <v>0</v>
      </c>
      <c r="L18" s="18">
        <f>'B02'!$H16</f>
        <v>0</v>
      </c>
      <c r="M18" s="18">
        <f>'B03'!$H16</f>
        <v>0</v>
      </c>
      <c r="N18" s="18">
        <f>'B04'!$H16</f>
        <v>0</v>
      </c>
      <c r="O18" s="18">
        <f>'B05'!$H16</f>
        <v>0</v>
      </c>
      <c r="P18" s="18">
        <f>'B06'!$H16</f>
        <v>0</v>
      </c>
      <c r="Q18" s="18">
        <f>'B07'!$H16</f>
        <v>0</v>
      </c>
      <c r="R18" s="18">
        <f>'B08'!$H16</f>
        <v>0</v>
      </c>
      <c r="S18" s="18">
        <f>'B09'!$H16</f>
        <v>0</v>
      </c>
      <c r="T18" s="18">
        <f>'C01'!$H16</f>
        <v>0</v>
      </c>
      <c r="U18" s="18">
        <f>'C02'!$H16</f>
        <v>0</v>
      </c>
      <c r="V18" s="18">
        <f>'C03'!$H16</f>
        <v>0</v>
      </c>
      <c r="W18" s="18">
        <f>'C04'!$H16</f>
        <v>0</v>
      </c>
      <c r="X18" s="18">
        <f>'C05'!$H16</f>
        <v>0</v>
      </c>
      <c r="Y18" s="18">
        <f>'C06'!$H16</f>
        <v>0</v>
      </c>
      <c r="Z18" s="18">
        <f>'C07'!$H16</f>
        <v>0</v>
      </c>
      <c r="AA18" s="18">
        <f>'C08'!$H16</f>
        <v>0</v>
      </c>
      <c r="AB18" s="18">
        <f>'C09'!$H16</f>
        <v>0</v>
      </c>
      <c r="AC18" s="18">
        <f>'D01'!H16</f>
        <v>0</v>
      </c>
      <c r="AD18" s="18">
        <f>'E01'!H16</f>
        <v>0</v>
      </c>
      <c r="AE18" s="18">
        <f>'F01'!H16</f>
        <v>0</v>
      </c>
      <c r="AF18" s="18">
        <f>'G01'!H20</f>
        <v>0</v>
      </c>
      <c r="AG18" s="18"/>
      <c r="AH18" s="18">
        <f t="shared" si="23"/>
        <v>0</v>
      </c>
      <c r="AI18" s="18">
        <v>0</v>
      </c>
      <c r="AJ18" s="18">
        <f t="shared" si="2"/>
        <v>0</v>
      </c>
      <c r="AK18" s="18">
        <f t="shared" si="21"/>
        <v>0</v>
      </c>
      <c r="AL18" s="18"/>
      <c r="AM18" s="18">
        <f t="shared" si="17"/>
        <v>0</v>
      </c>
      <c r="AN18" s="8">
        <f t="shared" si="3"/>
        <v>0</v>
      </c>
      <c r="AO18" s="18"/>
      <c r="AP18" s="7">
        <f t="shared" si="7"/>
        <v>93599.999999999985</v>
      </c>
      <c r="AQ18" s="8">
        <f t="shared" si="8"/>
        <v>0</v>
      </c>
      <c r="AR18" s="8">
        <f t="shared" si="9"/>
        <v>0</v>
      </c>
      <c r="AS18" s="23"/>
      <c r="AT18" s="18">
        <f t="shared" si="22"/>
        <v>0</v>
      </c>
      <c r="AU18" s="8">
        <f t="shared" si="4"/>
        <v>0</v>
      </c>
      <c r="AV18" s="18"/>
      <c r="AW18" s="23">
        <f t="shared" si="10"/>
        <v>6189300.0000000009</v>
      </c>
      <c r="AX18" s="23">
        <f t="shared" si="18"/>
        <v>0</v>
      </c>
      <c r="AY18" s="8">
        <f t="shared" si="11"/>
        <v>0</v>
      </c>
      <c r="AZ18" s="23"/>
      <c r="BA18">
        <f t="shared" si="12"/>
        <v>13</v>
      </c>
      <c r="BB18" s="18">
        <f t="shared" si="5"/>
        <v>0</v>
      </c>
      <c r="BC18">
        <f t="shared" si="13"/>
        <v>0</v>
      </c>
      <c r="BD18">
        <f t="shared" si="6"/>
        <v>0</v>
      </c>
      <c r="BF18">
        <f t="shared" si="14"/>
        <v>13</v>
      </c>
      <c r="BG18" s="18">
        <f t="shared" si="15"/>
        <v>0</v>
      </c>
      <c r="BH18" s="18">
        <f t="shared" si="16"/>
        <v>0</v>
      </c>
      <c r="BJ18">
        <v>13</v>
      </c>
      <c r="BK18" s="8">
        <f t="shared" si="19"/>
        <v>0</v>
      </c>
      <c r="BL18" s="8"/>
      <c r="BM18" s="57">
        <v>13</v>
      </c>
      <c r="BN18" s="8">
        <f t="shared" si="20"/>
        <v>0</v>
      </c>
    </row>
    <row r="19" spans="1:66" x14ac:dyDescent="0.3">
      <c r="A19">
        <v>14</v>
      </c>
      <c r="B19" s="18">
        <f>'A01'!$H17</f>
        <v>0</v>
      </c>
      <c r="C19" s="18">
        <f>'A02'!$H17</f>
        <v>0</v>
      </c>
      <c r="D19" s="18">
        <f>'A03'!$H17</f>
        <v>0</v>
      </c>
      <c r="E19" s="18">
        <f>'A04'!$H17</f>
        <v>0</v>
      </c>
      <c r="F19" s="18">
        <f>'A05'!$H17</f>
        <v>0</v>
      </c>
      <c r="G19" s="18">
        <f>'A06'!$H17</f>
        <v>0</v>
      </c>
      <c r="H19" s="18">
        <f>'A07'!$H17</f>
        <v>0</v>
      </c>
      <c r="I19" s="18">
        <f>'A08'!$H17</f>
        <v>0</v>
      </c>
      <c r="J19" s="18">
        <f>'A09'!$H17</f>
        <v>0</v>
      </c>
      <c r="K19" s="18">
        <f>'B01'!$H17</f>
        <v>0</v>
      </c>
      <c r="L19" s="18">
        <f>'B02'!$H17</f>
        <v>0</v>
      </c>
      <c r="M19" s="18">
        <f>'B03'!$H17</f>
        <v>0</v>
      </c>
      <c r="N19" s="18">
        <f>'B04'!$H17</f>
        <v>0</v>
      </c>
      <c r="O19" s="18">
        <f>'B05'!$H17</f>
        <v>0</v>
      </c>
      <c r="P19" s="18">
        <f>'B06'!$H17</f>
        <v>0</v>
      </c>
      <c r="Q19" s="18">
        <f>'B07'!$H17</f>
        <v>0</v>
      </c>
      <c r="R19" s="18">
        <f>'B08'!$H17</f>
        <v>0</v>
      </c>
      <c r="S19" s="18">
        <f>'B09'!$H17</f>
        <v>0</v>
      </c>
      <c r="T19" s="18">
        <f>'C01'!$H17</f>
        <v>0</v>
      </c>
      <c r="U19" s="18">
        <f>'C02'!$H17</f>
        <v>0</v>
      </c>
      <c r="V19" s="18">
        <f>'C03'!$H17</f>
        <v>0</v>
      </c>
      <c r="W19" s="18">
        <f>'C04'!$H17</f>
        <v>0</v>
      </c>
      <c r="X19" s="18">
        <f>'C05'!$H17</f>
        <v>0</v>
      </c>
      <c r="Y19" s="18">
        <f>'C06'!$H17</f>
        <v>0</v>
      </c>
      <c r="Z19" s="18">
        <f>'C07'!$H17</f>
        <v>0</v>
      </c>
      <c r="AA19" s="18">
        <f>'C08'!$H17</f>
        <v>0</v>
      </c>
      <c r="AB19" s="18">
        <f>'C09'!$H17</f>
        <v>0</v>
      </c>
      <c r="AC19" s="18">
        <f>'D01'!H17</f>
        <v>0</v>
      </c>
      <c r="AD19" s="18">
        <f>'E01'!H17</f>
        <v>0</v>
      </c>
      <c r="AE19" s="18">
        <f>'F01'!H17</f>
        <v>0</v>
      </c>
      <c r="AF19" s="18">
        <f>'G01'!H21</f>
        <v>0</v>
      </c>
      <c r="AG19" s="18"/>
      <c r="AH19" s="18">
        <f t="shared" si="23"/>
        <v>0</v>
      </c>
      <c r="AI19" s="18">
        <v>0</v>
      </c>
      <c r="AJ19" s="18">
        <f t="shared" si="2"/>
        <v>0</v>
      </c>
      <c r="AK19" s="18">
        <f t="shared" si="21"/>
        <v>0</v>
      </c>
      <c r="AL19" s="18"/>
      <c r="AM19" s="18">
        <f t="shared" si="17"/>
        <v>0</v>
      </c>
      <c r="AN19" s="8">
        <f t="shared" si="3"/>
        <v>0</v>
      </c>
      <c r="AO19" s="18"/>
      <c r="AP19" s="7">
        <f t="shared" si="7"/>
        <v>100799.99999999999</v>
      </c>
      <c r="AQ19" s="8">
        <f t="shared" si="8"/>
        <v>0</v>
      </c>
      <c r="AR19" s="8">
        <f t="shared" si="9"/>
        <v>0</v>
      </c>
      <c r="AS19" s="23"/>
      <c r="AT19" s="18">
        <f t="shared" si="22"/>
        <v>0</v>
      </c>
      <c r="AU19" s="8">
        <f t="shared" si="4"/>
        <v>0</v>
      </c>
      <c r="AV19" s="18"/>
      <c r="AW19" s="23">
        <f t="shared" si="10"/>
        <v>6665400.0000000009</v>
      </c>
      <c r="AX19" s="23">
        <f t="shared" si="18"/>
        <v>0</v>
      </c>
      <c r="AY19" s="8">
        <f t="shared" si="11"/>
        <v>0</v>
      </c>
      <c r="AZ19" s="23"/>
      <c r="BA19">
        <f t="shared" si="12"/>
        <v>14</v>
      </c>
      <c r="BB19" s="18">
        <f t="shared" si="5"/>
        <v>0</v>
      </c>
      <c r="BC19">
        <f t="shared" si="13"/>
        <v>0</v>
      </c>
      <c r="BD19">
        <f t="shared" si="6"/>
        <v>0</v>
      </c>
      <c r="BF19">
        <f t="shared" si="14"/>
        <v>14</v>
      </c>
      <c r="BG19" s="18">
        <f t="shared" si="15"/>
        <v>0</v>
      </c>
      <c r="BH19" s="18">
        <f t="shared" si="16"/>
        <v>0</v>
      </c>
      <c r="BJ19">
        <v>14</v>
      </c>
      <c r="BK19" s="8">
        <f t="shared" si="19"/>
        <v>0</v>
      </c>
      <c r="BL19" s="8"/>
      <c r="BM19" s="57">
        <v>14</v>
      </c>
      <c r="BN19" s="8">
        <f t="shared" si="20"/>
        <v>0</v>
      </c>
    </row>
    <row r="20" spans="1:66" x14ac:dyDescent="0.3">
      <c r="A20">
        <v>15</v>
      </c>
      <c r="B20" s="18">
        <f>'A01'!$H18</f>
        <v>0</v>
      </c>
      <c r="C20" s="18">
        <f>'A02'!$H18</f>
        <v>0</v>
      </c>
      <c r="D20" s="18">
        <f>'A03'!$H18</f>
        <v>0</v>
      </c>
      <c r="E20" s="18">
        <f>'A04'!$H18</f>
        <v>0</v>
      </c>
      <c r="F20" s="18">
        <f>'A05'!$H18</f>
        <v>0</v>
      </c>
      <c r="G20" s="18">
        <f>'A06'!$H18</f>
        <v>0</v>
      </c>
      <c r="H20" s="18">
        <f>'A07'!$H18</f>
        <v>0</v>
      </c>
      <c r="I20" s="18">
        <f>'A08'!$H18</f>
        <v>0</v>
      </c>
      <c r="J20" s="18">
        <f>'A09'!$H18</f>
        <v>0</v>
      </c>
      <c r="K20" s="18">
        <f>'B01'!$H18</f>
        <v>0</v>
      </c>
      <c r="L20" s="18">
        <f>'B02'!$H18</f>
        <v>0</v>
      </c>
      <c r="M20" s="18">
        <f>'B03'!$H18</f>
        <v>0</v>
      </c>
      <c r="N20" s="18">
        <f>'B04'!$H18</f>
        <v>0</v>
      </c>
      <c r="O20" s="18">
        <f>'B05'!$H18</f>
        <v>0</v>
      </c>
      <c r="P20" s="18">
        <f>'B06'!$H18</f>
        <v>0</v>
      </c>
      <c r="Q20" s="18">
        <f>'B07'!$H18</f>
        <v>0</v>
      </c>
      <c r="R20" s="18">
        <f>'B08'!$H18</f>
        <v>0</v>
      </c>
      <c r="S20" s="18">
        <f>'B09'!$H18</f>
        <v>0</v>
      </c>
      <c r="T20" s="18">
        <f>'C01'!$H18</f>
        <v>0</v>
      </c>
      <c r="U20" s="18">
        <f>'C02'!$H18</f>
        <v>0</v>
      </c>
      <c r="V20" s="18">
        <f>'C03'!$H18</f>
        <v>0</v>
      </c>
      <c r="W20" s="18">
        <f>'C04'!$H18</f>
        <v>0</v>
      </c>
      <c r="X20" s="18">
        <f>'C05'!$H18</f>
        <v>0</v>
      </c>
      <c r="Y20" s="18">
        <f>'C06'!$H18</f>
        <v>0</v>
      </c>
      <c r="Z20" s="18">
        <f>'C07'!$H18</f>
        <v>0</v>
      </c>
      <c r="AA20" s="18">
        <f>'C08'!$H18</f>
        <v>0</v>
      </c>
      <c r="AB20" s="18">
        <f>'C09'!$H18</f>
        <v>0</v>
      </c>
      <c r="AC20" s="18">
        <f>'D01'!H18</f>
        <v>0</v>
      </c>
      <c r="AD20" s="18">
        <f>'E01'!H18</f>
        <v>0</v>
      </c>
      <c r="AE20" s="18">
        <f>'F01'!H18</f>
        <v>0</v>
      </c>
      <c r="AF20" s="18">
        <f>'G01'!H22</f>
        <v>0</v>
      </c>
      <c r="AH20" s="18">
        <f t="shared" si="23"/>
        <v>0</v>
      </c>
      <c r="AI20" s="18">
        <v>0</v>
      </c>
      <c r="AJ20" s="18">
        <f>SUM(AH20:AI20)</f>
        <v>0</v>
      </c>
      <c r="AK20" s="18">
        <f>AK$3*AH20</f>
        <v>0</v>
      </c>
      <c r="AL20" s="18"/>
      <c r="AM20" s="18">
        <f t="shared" si="17"/>
        <v>0</v>
      </c>
      <c r="AN20" s="8">
        <f t="shared" si="3"/>
        <v>0</v>
      </c>
      <c r="AO20" s="18"/>
      <c r="AP20" s="7">
        <f t="shared" si="7"/>
        <v>107999.99999999999</v>
      </c>
      <c r="AQ20" s="8">
        <f t="shared" si="8"/>
        <v>0</v>
      </c>
      <c r="AR20" s="8">
        <f t="shared" si="9"/>
        <v>0</v>
      </c>
      <c r="AS20" s="23"/>
      <c r="AT20" s="497">
        <f>AT114*AM20/AT$3</f>
        <v>0</v>
      </c>
      <c r="AU20" s="8">
        <f t="shared" si="4"/>
        <v>0</v>
      </c>
      <c r="AV20" s="18"/>
      <c r="AW20" s="23">
        <f t="shared" si="10"/>
        <v>7141500.0000000009</v>
      </c>
      <c r="AX20" s="23">
        <f t="shared" si="18"/>
        <v>0</v>
      </c>
      <c r="AY20" s="8">
        <f t="shared" si="11"/>
        <v>0</v>
      </c>
      <c r="AZ20" s="23"/>
      <c r="BA20">
        <f t="shared" si="12"/>
        <v>15</v>
      </c>
      <c r="BB20" s="18">
        <f t="shared" si="5"/>
        <v>0</v>
      </c>
      <c r="BC20">
        <f t="shared" si="13"/>
        <v>0</v>
      </c>
      <c r="BD20">
        <f t="shared" si="6"/>
        <v>0</v>
      </c>
      <c r="BF20">
        <f t="shared" si="14"/>
        <v>15</v>
      </c>
      <c r="BG20" s="18">
        <f t="shared" si="15"/>
        <v>0</v>
      </c>
      <c r="BH20" s="18">
        <f t="shared" si="16"/>
        <v>0</v>
      </c>
      <c r="BJ20">
        <v>15</v>
      </c>
      <c r="BK20" s="8">
        <f t="shared" si="19"/>
        <v>0</v>
      </c>
      <c r="BL20" s="8"/>
      <c r="BM20" s="57">
        <v>15</v>
      </c>
      <c r="BN20" s="8">
        <f t="shared" si="20"/>
        <v>0</v>
      </c>
    </row>
    <row r="21" spans="1:66" x14ac:dyDescent="0.3">
      <c r="A21">
        <v>16</v>
      </c>
      <c r="B21" s="18">
        <f>'A01'!$H19</f>
        <v>0</v>
      </c>
      <c r="C21" s="18">
        <f>'A02'!$H19</f>
        <v>0</v>
      </c>
      <c r="D21" s="18">
        <f>'A03'!$H19</f>
        <v>0</v>
      </c>
      <c r="E21" s="18">
        <f>'A04'!$H19</f>
        <v>0</v>
      </c>
      <c r="F21" s="18">
        <f>'A05'!$H19</f>
        <v>0</v>
      </c>
      <c r="G21" s="18">
        <f>'A06'!$H19</f>
        <v>0</v>
      </c>
      <c r="H21" s="18">
        <f>'A07'!$H19</f>
        <v>0</v>
      </c>
      <c r="I21" s="18">
        <f>'A08'!$H19</f>
        <v>0</v>
      </c>
      <c r="J21" s="18">
        <f>'A09'!$H19</f>
        <v>0</v>
      </c>
      <c r="K21" s="18">
        <f>'B01'!$H19</f>
        <v>0</v>
      </c>
      <c r="L21" s="18">
        <f>'B02'!$H19</f>
        <v>0</v>
      </c>
      <c r="M21" s="18">
        <f>'B03'!$H19</f>
        <v>0</v>
      </c>
      <c r="N21" s="18">
        <f>'B04'!$H19</f>
        <v>0</v>
      </c>
      <c r="O21" s="18">
        <f>'B05'!$H19</f>
        <v>0</v>
      </c>
      <c r="P21" s="18">
        <f>'B06'!$H19</f>
        <v>0</v>
      </c>
      <c r="Q21" s="18">
        <f>'B07'!$H19</f>
        <v>0</v>
      </c>
      <c r="R21" s="18">
        <f>'B08'!$H19</f>
        <v>0</v>
      </c>
      <c r="S21" s="18">
        <f>'B09'!$H19</f>
        <v>0</v>
      </c>
      <c r="T21" s="18">
        <f>'C01'!$H19</f>
        <v>0</v>
      </c>
      <c r="U21" s="18">
        <f>'C02'!$H19</f>
        <v>0</v>
      </c>
      <c r="V21" s="18">
        <f>'C03'!$H19</f>
        <v>0</v>
      </c>
      <c r="W21" s="18">
        <f>'C04'!$H19</f>
        <v>0</v>
      </c>
      <c r="X21" s="18">
        <f>'C05'!$H19</f>
        <v>0</v>
      </c>
      <c r="Y21" s="18">
        <f>'C06'!$H19</f>
        <v>0</v>
      </c>
      <c r="Z21" s="18">
        <f>'C07'!$H19</f>
        <v>0</v>
      </c>
      <c r="AA21" s="18">
        <f>'C08'!$H19</f>
        <v>0</v>
      </c>
      <c r="AB21" s="18">
        <f>'C09'!$H19</f>
        <v>0</v>
      </c>
      <c r="AC21" s="18">
        <f>'D01'!H19</f>
        <v>0</v>
      </c>
      <c r="AD21" s="18">
        <f>'E01'!H19</f>
        <v>0</v>
      </c>
      <c r="AE21" s="18">
        <f>'F01'!H19</f>
        <v>0</v>
      </c>
      <c r="AF21" s="18">
        <f>'G01'!H23</f>
        <v>0</v>
      </c>
      <c r="AG21" s="18"/>
      <c r="AH21" s="18">
        <f t="shared" si="23"/>
        <v>0</v>
      </c>
      <c r="AI21" s="18">
        <v>0</v>
      </c>
      <c r="AJ21" s="18">
        <f t="shared" si="2"/>
        <v>0</v>
      </c>
      <c r="AK21" s="18">
        <f t="shared" si="21"/>
        <v>0</v>
      </c>
      <c r="AL21" s="18"/>
      <c r="AM21" s="18">
        <f t="shared" si="17"/>
        <v>0</v>
      </c>
      <c r="AN21" s="8">
        <f t="shared" si="3"/>
        <v>0</v>
      </c>
      <c r="AO21" s="18"/>
      <c r="AP21" s="7">
        <f t="shared" si="7"/>
        <v>115199.99999999999</v>
      </c>
      <c r="AQ21" s="8">
        <f t="shared" si="8"/>
        <v>0</v>
      </c>
      <c r="AR21" s="8">
        <f t="shared" si="9"/>
        <v>0</v>
      </c>
      <c r="AS21" s="23"/>
      <c r="AT21" s="18">
        <f t="shared" si="22"/>
        <v>0</v>
      </c>
      <c r="AU21" s="8">
        <f t="shared" si="4"/>
        <v>0</v>
      </c>
      <c r="AV21" s="18"/>
      <c r="AW21" s="23">
        <f t="shared" si="10"/>
        <v>7617600.0000000009</v>
      </c>
      <c r="AX21" s="23">
        <f t="shared" si="18"/>
        <v>0</v>
      </c>
      <c r="AY21" s="8">
        <f t="shared" si="11"/>
        <v>0</v>
      </c>
      <c r="AZ21" s="23"/>
      <c r="BA21">
        <f t="shared" si="12"/>
        <v>16</v>
      </c>
      <c r="BB21" s="18">
        <f t="shared" si="5"/>
        <v>0</v>
      </c>
      <c r="BC21">
        <f t="shared" si="13"/>
        <v>0</v>
      </c>
      <c r="BD21">
        <f t="shared" si="6"/>
        <v>0</v>
      </c>
      <c r="BF21">
        <f t="shared" si="14"/>
        <v>16</v>
      </c>
      <c r="BG21" s="18">
        <f t="shared" si="15"/>
        <v>0</v>
      </c>
      <c r="BH21" s="18">
        <f t="shared" si="16"/>
        <v>0</v>
      </c>
      <c r="BJ21">
        <v>16</v>
      </c>
      <c r="BK21" s="8">
        <f t="shared" si="19"/>
        <v>0</v>
      </c>
      <c r="BL21" s="8"/>
      <c r="BM21" s="57">
        <v>16</v>
      </c>
      <c r="BN21" s="8">
        <f t="shared" si="20"/>
        <v>0</v>
      </c>
    </row>
    <row r="22" spans="1:66" x14ac:dyDescent="0.3">
      <c r="A22">
        <v>17</v>
      </c>
      <c r="B22" s="18">
        <f>'A01'!$H20</f>
        <v>0</v>
      </c>
      <c r="C22" s="18">
        <f>'A02'!$H20</f>
        <v>0</v>
      </c>
      <c r="D22" s="18">
        <f>'A03'!$H20</f>
        <v>0</v>
      </c>
      <c r="E22" s="18">
        <f>'A04'!$H20</f>
        <v>0</v>
      </c>
      <c r="F22" s="18">
        <f>'A05'!$H20</f>
        <v>0</v>
      </c>
      <c r="G22" s="18">
        <f>'A06'!$H20</f>
        <v>0</v>
      </c>
      <c r="H22" s="18">
        <f>'A07'!$H20</f>
        <v>0</v>
      </c>
      <c r="I22" s="18">
        <f>'A08'!$H20</f>
        <v>0</v>
      </c>
      <c r="J22" s="18">
        <f>'A09'!$H20</f>
        <v>0</v>
      </c>
      <c r="K22" s="18">
        <f>'B01'!$H20</f>
        <v>0</v>
      </c>
      <c r="L22" s="18">
        <f>'B02'!$H20</f>
        <v>0</v>
      </c>
      <c r="M22" s="18">
        <f>'B03'!$H20</f>
        <v>0</v>
      </c>
      <c r="N22" s="18">
        <f>'B04'!$H20</f>
        <v>0</v>
      </c>
      <c r="O22" s="18">
        <f>'B05'!$H20</f>
        <v>0</v>
      </c>
      <c r="P22" s="18">
        <f>'B06'!$H20</f>
        <v>0</v>
      </c>
      <c r="Q22" s="18">
        <f>'B07'!$H20</f>
        <v>0</v>
      </c>
      <c r="R22" s="18">
        <f>'B08'!$H20</f>
        <v>0</v>
      </c>
      <c r="S22" s="18">
        <f>'B09'!$H20</f>
        <v>0</v>
      </c>
      <c r="T22" s="18">
        <f>'C01'!$H20</f>
        <v>0</v>
      </c>
      <c r="U22" s="18">
        <f>'C02'!$H20</f>
        <v>0</v>
      </c>
      <c r="V22" s="18">
        <f>'C03'!$H20</f>
        <v>0</v>
      </c>
      <c r="W22" s="18">
        <f>'C04'!$H20</f>
        <v>0</v>
      </c>
      <c r="X22" s="18">
        <f>'C05'!$H20</f>
        <v>0</v>
      </c>
      <c r="Y22" s="18">
        <f>'C06'!$H20</f>
        <v>0</v>
      </c>
      <c r="Z22" s="18">
        <f>'C07'!$H20</f>
        <v>0</v>
      </c>
      <c r="AA22" s="18">
        <f>'C08'!$H20</f>
        <v>0</v>
      </c>
      <c r="AB22" s="18">
        <f>'C09'!$H20</f>
        <v>0</v>
      </c>
      <c r="AC22" s="18">
        <f>'D01'!H20</f>
        <v>0</v>
      </c>
      <c r="AD22" s="18">
        <f>'E01'!H20</f>
        <v>0</v>
      </c>
      <c r="AE22" s="18">
        <f>'F01'!H20</f>
        <v>0</v>
      </c>
      <c r="AF22" s="18">
        <f>'G01'!H24</f>
        <v>0</v>
      </c>
      <c r="AG22" s="18"/>
      <c r="AH22" s="18">
        <f t="shared" si="23"/>
        <v>0</v>
      </c>
      <c r="AI22" s="18">
        <v>0</v>
      </c>
      <c r="AJ22" s="18">
        <f t="shared" si="2"/>
        <v>0</v>
      </c>
      <c r="AK22" s="18">
        <f t="shared" si="21"/>
        <v>0</v>
      </c>
      <c r="AL22" s="18"/>
      <c r="AM22" s="18">
        <f t="shared" si="17"/>
        <v>0</v>
      </c>
      <c r="AN22" s="8">
        <f t="shared" si="3"/>
        <v>0</v>
      </c>
      <c r="AO22" s="18"/>
      <c r="AP22" s="7">
        <f t="shared" si="7"/>
        <v>122399.99999999999</v>
      </c>
      <c r="AQ22" s="8">
        <f t="shared" si="8"/>
        <v>0</v>
      </c>
      <c r="AR22" s="8">
        <f t="shared" si="9"/>
        <v>0</v>
      </c>
      <c r="AS22" s="23"/>
      <c r="AT22" s="18">
        <f t="shared" si="22"/>
        <v>0</v>
      </c>
      <c r="AU22" s="8">
        <f t="shared" si="4"/>
        <v>0</v>
      </c>
      <c r="AV22" s="18"/>
      <c r="AW22" s="23">
        <f t="shared" si="10"/>
        <v>8093700.0000000009</v>
      </c>
      <c r="AX22" s="23">
        <f t="shared" si="18"/>
        <v>0</v>
      </c>
      <c r="AY22" s="8">
        <f t="shared" si="11"/>
        <v>0</v>
      </c>
      <c r="AZ22" s="23"/>
      <c r="BA22">
        <f t="shared" si="12"/>
        <v>17</v>
      </c>
      <c r="BB22" s="18">
        <f t="shared" si="5"/>
        <v>0</v>
      </c>
      <c r="BC22">
        <f t="shared" si="13"/>
        <v>0</v>
      </c>
      <c r="BD22">
        <f t="shared" si="6"/>
        <v>0</v>
      </c>
      <c r="BF22">
        <f t="shared" si="14"/>
        <v>17</v>
      </c>
      <c r="BG22" s="18">
        <f t="shared" si="15"/>
        <v>0</v>
      </c>
      <c r="BH22" s="18">
        <f t="shared" si="16"/>
        <v>0</v>
      </c>
      <c r="BJ22">
        <v>17</v>
      </c>
      <c r="BK22" s="8">
        <f t="shared" si="19"/>
        <v>0</v>
      </c>
      <c r="BL22" s="8"/>
      <c r="BM22" s="57">
        <v>17</v>
      </c>
      <c r="BN22" s="8">
        <f t="shared" si="20"/>
        <v>0</v>
      </c>
    </row>
    <row r="23" spans="1:66" x14ac:dyDescent="0.3">
      <c r="A23">
        <v>18</v>
      </c>
      <c r="B23" s="18">
        <f>'A01'!$H21</f>
        <v>0</v>
      </c>
      <c r="C23" s="18">
        <f>'A02'!$H21</f>
        <v>0</v>
      </c>
      <c r="D23" s="18">
        <f>'A03'!$H21</f>
        <v>0</v>
      </c>
      <c r="E23" s="18">
        <f>'A04'!$H21</f>
        <v>0</v>
      </c>
      <c r="F23" s="18">
        <f>'A05'!$H21</f>
        <v>0</v>
      </c>
      <c r="G23" s="18">
        <f>'A06'!$H21</f>
        <v>0</v>
      </c>
      <c r="H23" s="18">
        <f>'A07'!$H21</f>
        <v>0</v>
      </c>
      <c r="I23" s="18">
        <f>'A08'!$H21</f>
        <v>0</v>
      </c>
      <c r="J23" s="18">
        <f>'A09'!$H21</f>
        <v>0</v>
      </c>
      <c r="K23" s="18">
        <f>'B01'!$H21</f>
        <v>0</v>
      </c>
      <c r="L23" s="18">
        <f>'B02'!$H21</f>
        <v>0</v>
      </c>
      <c r="M23" s="18">
        <f>'B03'!$H21</f>
        <v>0</v>
      </c>
      <c r="N23" s="18">
        <f>'B04'!$H21</f>
        <v>0</v>
      </c>
      <c r="O23" s="18">
        <f>'B05'!$H21</f>
        <v>0</v>
      </c>
      <c r="P23" s="18">
        <f>'B06'!$H21</f>
        <v>0</v>
      </c>
      <c r="Q23" s="18">
        <f>'B07'!$H21</f>
        <v>0</v>
      </c>
      <c r="R23" s="18">
        <f>'B08'!$H21</f>
        <v>0</v>
      </c>
      <c r="S23" s="18">
        <f>'B09'!$H21</f>
        <v>0</v>
      </c>
      <c r="T23" s="18">
        <f>'C01'!$H21</f>
        <v>0</v>
      </c>
      <c r="U23" s="18">
        <f>'C02'!$H21</f>
        <v>0</v>
      </c>
      <c r="V23" s="18">
        <f>'C03'!$H21</f>
        <v>0</v>
      </c>
      <c r="W23" s="18">
        <f>'C04'!$H21</f>
        <v>0</v>
      </c>
      <c r="X23" s="18">
        <f>'C05'!$H21</f>
        <v>0</v>
      </c>
      <c r="Y23" s="18">
        <f>'C06'!$H21</f>
        <v>0</v>
      </c>
      <c r="Z23" s="18">
        <f>'C07'!$H21</f>
        <v>0</v>
      </c>
      <c r="AA23" s="18">
        <f>'C08'!$H21</f>
        <v>0</v>
      </c>
      <c r="AB23" s="18">
        <f>'C09'!$H21</f>
        <v>0</v>
      </c>
      <c r="AC23" s="18">
        <f>'D01'!H21</f>
        <v>0</v>
      </c>
      <c r="AD23" s="18">
        <f>'E01'!H21</f>
        <v>0</v>
      </c>
      <c r="AE23" s="18">
        <f>'F01'!H21</f>
        <v>0</v>
      </c>
      <c r="AF23" s="18">
        <f>'G01'!H25</f>
        <v>0</v>
      </c>
      <c r="AH23" s="18">
        <f t="shared" si="23"/>
        <v>0</v>
      </c>
      <c r="AI23" s="18">
        <v>0</v>
      </c>
      <c r="AJ23" s="18">
        <f>SUM(AH23:AI23)</f>
        <v>0</v>
      </c>
      <c r="AK23" s="18">
        <f>AK$3*AH23</f>
        <v>0</v>
      </c>
      <c r="AL23" s="18"/>
      <c r="AM23" s="18">
        <f t="shared" si="17"/>
        <v>0</v>
      </c>
      <c r="AN23" s="8">
        <f t="shared" si="3"/>
        <v>0</v>
      </c>
      <c r="AO23" s="18"/>
      <c r="AP23" s="7">
        <f t="shared" si="7"/>
        <v>129599.99999999999</v>
      </c>
      <c r="AQ23" s="8">
        <f t="shared" si="8"/>
        <v>0</v>
      </c>
      <c r="AR23" s="8">
        <f t="shared" si="9"/>
        <v>0</v>
      </c>
      <c r="AS23" s="23"/>
      <c r="AT23" s="497">
        <f>AT114*AM23/AT$3</f>
        <v>0</v>
      </c>
      <c r="AU23" s="8">
        <f t="shared" si="4"/>
        <v>0</v>
      </c>
      <c r="AV23" s="18"/>
      <c r="AW23" s="23">
        <f t="shared" si="10"/>
        <v>8569800.0000000019</v>
      </c>
      <c r="AX23" s="23">
        <f t="shared" si="18"/>
        <v>0</v>
      </c>
      <c r="AY23" s="8">
        <f t="shared" si="11"/>
        <v>0</v>
      </c>
      <c r="AZ23" s="23"/>
      <c r="BA23">
        <f t="shared" si="12"/>
        <v>18</v>
      </c>
      <c r="BB23" s="18">
        <f t="shared" si="5"/>
        <v>0</v>
      </c>
      <c r="BC23">
        <f t="shared" si="13"/>
        <v>0</v>
      </c>
      <c r="BD23">
        <f t="shared" si="6"/>
        <v>0</v>
      </c>
      <c r="BF23">
        <f t="shared" si="14"/>
        <v>18</v>
      </c>
      <c r="BG23" s="18">
        <f t="shared" si="15"/>
        <v>0</v>
      </c>
      <c r="BH23" s="18">
        <f t="shared" si="16"/>
        <v>0</v>
      </c>
      <c r="BJ23">
        <v>18</v>
      </c>
      <c r="BK23" s="8">
        <f t="shared" si="19"/>
        <v>0</v>
      </c>
      <c r="BL23" s="8"/>
      <c r="BM23" s="57">
        <v>18</v>
      </c>
      <c r="BN23" s="8">
        <f t="shared" si="20"/>
        <v>0</v>
      </c>
    </row>
    <row r="24" spans="1:66" x14ac:dyDescent="0.3">
      <c r="A24">
        <v>19</v>
      </c>
      <c r="B24" s="18">
        <f>'A01'!$H22</f>
        <v>0</v>
      </c>
      <c r="C24" s="18">
        <f>'A02'!$H22</f>
        <v>0</v>
      </c>
      <c r="D24" s="18">
        <f>'A03'!$H22</f>
        <v>0</v>
      </c>
      <c r="E24" s="18">
        <f>'A04'!$H22</f>
        <v>0</v>
      </c>
      <c r="F24" s="18">
        <f>'A05'!$H22</f>
        <v>0</v>
      </c>
      <c r="G24" s="18">
        <f>'A06'!$H22</f>
        <v>0</v>
      </c>
      <c r="H24" s="18">
        <f>'A07'!$H22</f>
        <v>0</v>
      </c>
      <c r="I24" s="18">
        <f>'A08'!$H22</f>
        <v>0</v>
      </c>
      <c r="J24" s="18">
        <f>'A09'!$H22</f>
        <v>0</v>
      </c>
      <c r="K24" s="18">
        <f>'B01'!$H22</f>
        <v>0</v>
      </c>
      <c r="L24" s="18">
        <f>'B02'!$H22</f>
        <v>0</v>
      </c>
      <c r="M24" s="18">
        <f>'B03'!$H22</f>
        <v>0</v>
      </c>
      <c r="N24" s="18">
        <f>'B04'!$H22</f>
        <v>0</v>
      </c>
      <c r="O24" s="18">
        <f>'B05'!$H22</f>
        <v>0</v>
      </c>
      <c r="P24" s="18">
        <f>'B06'!$H22</f>
        <v>0</v>
      </c>
      <c r="Q24" s="18">
        <f>'B07'!$H22</f>
        <v>0</v>
      </c>
      <c r="R24" s="18">
        <f>'B08'!$H22</f>
        <v>0</v>
      </c>
      <c r="S24" s="18">
        <f>'B09'!$H22</f>
        <v>0</v>
      </c>
      <c r="T24" s="18">
        <f>'C01'!$H22</f>
        <v>0</v>
      </c>
      <c r="U24" s="18">
        <f>'C02'!$H22</f>
        <v>0</v>
      </c>
      <c r="V24" s="18">
        <f>'C03'!$H22</f>
        <v>0</v>
      </c>
      <c r="W24" s="18">
        <f>'C04'!$H22</f>
        <v>0</v>
      </c>
      <c r="X24" s="18">
        <f>'C05'!$H22</f>
        <v>0</v>
      </c>
      <c r="Y24" s="18">
        <f>'C06'!$H22</f>
        <v>0</v>
      </c>
      <c r="Z24" s="18">
        <f>'C07'!$H22</f>
        <v>0</v>
      </c>
      <c r="AA24" s="18">
        <f>'C08'!$H22</f>
        <v>0</v>
      </c>
      <c r="AB24" s="18">
        <f>'C09'!$H22</f>
        <v>0</v>
      </c>
      <c r="AC24" s="18">
        <f>'D01'!H22</f>
        <v>0</v>
      </c>
      <c r="AD24" s="18">
        <f>'E01'!H22</f>
        <v>0</v>
      </c>
      <c r="AE24" s="18">
        <f>'F01'!H22</f>
        <v>0</v>
      </c>
      <c r="AF24" s="18">
        <f>'G01'!H26</f>
        <v>0</v>
      </c>
      <c r="AG24" s="18"/>
      <c r="AH24" s="18">
        <f t="shared" si="23"/>
        <v>0</v>
      </c>
      <c r="AI24" s="18">
        <v>0</v>
      </c>
      <c r="AJ24" s="18">
        <f t="shared" si="2"/>
        <v>0</v>
      </c>
      <c r="AK24" s="18">
        <f t="shared" si="21"/>
        <v>0</v>
      </c>
      <c r="AL24" s="18"/>
      <c r="AM24" s="18">
        <f t="shared" si="17"/>
        <v>0</v>
      </c>
      <c r="AN24" s="8">
        <f t="shared" si="3"/>
        <v>0</v>
      </c>
      <c r="AO24" s="18"/>
      <c r="AP24" s="7">
        <f t="shared" si="7"/>
        <v>136799.99999999997</v>
      </c>
      <c r="AQ24" s="8">
        <f t="shared" si="8"/>
        <v>0</v>
      </c>
      <c r="AR24" s="8">
        <f t="shared" si="9"/>
        <v>0</v>
      </c>
      <c r="AS24" s="23"/>
      <c r="AT24" s="18">
        <f t="shared" si="22"/>
        <v>0</v>
      </c>
      <c r="AU24" s="8">
        <f t="shared" si="4"/>
        <v>0</v>
      </c>
      <c r="AV24" s="18"/>
      <c r="AW24" s="23">
        <f t="shared" si="10"/>
        <v>9045900.0000000019</v>
      </c>
      <c r="AX24" s="23">
        <f t="shared" si="18"/>
        <v>0</v>
      </c>
      <c r="AY24" s="8">
        <f t="shared" si="11"/>
        <v>0</v>
      </c>
      <c r="AZ24" s="23"/>
      <c r="BA24">
        <f t="shared" si="12"/>
        <v>19</v>
      </c>
      <c r="BB24" s="18">
        <f t="shared" si="5"/>
        <v>0</v>
      </c>
      <c r="BC24">
        <f t="shared" si="13"/>
        <v>0</v>
      </c>
      <c r="BD24">
        <f t="shared" si="6"/>
        <v>0</v>
      </c>
      <c r="BF24">
        <f t="shared" si="14"/>
        <v>19</v>
      </c>
      <c r="BG24" s="18">
        <f t="shared" si="15"/>
        <v>0</v>
      </c>
      <c r="BH24" s="18">
        <f t="shared" si="16"/>
        <v>0</v>
      </c>
      <c r="BJ24">
        <v>19</v>
      </c>
      <c r="BK24" s="8">
        <f t="shared" si="19"/>
        <v>0</v>
      </c>
      <c r="BL24" s="8"/>
      <c r="BM24" s="57">
        <v>19</v>
      </c>
      <c r="BN24" s="8">
        <f t="shared" si="20"/>
        <v>0</v>
      </c>
    </row>
    <row r="25" spans="1:66" x14ac:dyDescent="0.3">
      <c r="A25">
        <v>20</v>
      </c>
      <c r="B25" s="18">
        <f>'A01'!$H23</f>
        <v>0</v>
      </c>
      <c r="C25" s="18">
        <f>'A02'!$H23</f>
        <v>0</v>
      </c>
      <c r="D25" s="18">
        <f>'A03'!$H23</f>
        <v>0</v>
      </c>
      <c r="E25" s="18">
        <f>'A04'!$H23</f>
        <v>0</v>
      </c>
      <c r="F25" s="18">
        <f>'A05'!$H23</f>
        <v>0</v>
      </c>
      <c r="G25" s="18">
        <f>'A06'!$H23</f>
        <v>0</v>
      </c>
      <c r="H25" s="18">
        <f>'A07'!$H23</f>
        <v>0</v>
      </c>
      <c r="I25" s="18">
        <f>'A08'!$H23</f>
        <v>0</v>
      </c>
      <c r="J25" s="18">
        <f>'A09'!$H23</f>
        <v>0</v>
      </c>
      <c r="K25" s="18">
        <f>'B01'!$H23</f>
        <v>0</v>
      </c>
      <c r="L25" s="18">
        <f>'B02'!$H23</f>
        <v>0</v>
      </c>
      <c r="M25" s="18">
        <f>'B03'!$H23</f>
        <v>0</v>
      </c>
      <c r="N25" s="18">
        <f>'B04'!$H23</f>
        <v>0</v>
      </c>
      <c r="O25" s="18">
        <f>'B05'!$H23</f>
        <v>0</v>
      </c>
      <c r="P25" s="18">
        <f>'B06'!$H23</f>
        <v>0</v>
      </c>
      <c r="Q25" s="18">
        <f>'B07'!$H23</f>
        <v>0</v>
      </c>
      <c r="R25" s="18">
        <f>'B08'!$H23</f>
        <v>0</v>
      </c>
      <c r="S25" s="18">
        <f>'B09'!$H23</f>
        <v>0</v>
      </c>
      <c r="T25" s="18">
        <f>'C01'!$H23</f>
        <v>0</v>
      </c>
      <c r="U25" s="18">
        <f>'C02'!$H23</f>
        <v>0</v>
      </c>
      <c r="V25" s="18">
        <f>'C03'!$H23</f>
        <v>0</v>
      </c>
      <c r="W25" s="18">
        <f>'C04'!$H23</f>
        <v>0</v>
      </c>
      <c r="X25" s="18">
        <f>'C05'!$H23</f>
        <v>0</v>
      </c>
      <c r="Y25" s="18">
        <f>'C06'!$H23</f>
        <v>0</v>
      </c>
      <c r="Z25" s="18">
        <f>'C07'!$H23</f>
        <v>0</v>
      </c>
      <c r="AA25" s="18">
        <f>'C08'!$H23</f>
        <v>0</v>
      </c>
      <c r="AB25" s="18">
        <f>'C09'!$H23</f>
        <v>0</v>
      </c>
      <c r="AC25" s="18">
        <f>'D01'!H23</f>
        <v>0</v>
      </c>
      <c r="AD25" s="18">
        <f>'E01'!H23</f>
        <v>0</v>
      </c>
      <c r="AE25" s="18">
        <f>'F01'!H23</f>
        <v>0</v>
      </c>
      <c r="AF25" s="18">
        <f>'G01'!H27</f>
        <v>0</v>
      </c>
      <c r="AG25" s="18"/>
      <c r="AH25" s="18">
        <f t="shared" si="23"/>
        <v>0</v>
      </c>
      <c r="AI25" s="18">
        <v>0</v>
      </c>
      <c r="AJ25" s="18">
        <f t="shared" si="2"/>
        <v>0</v>
      </c>
      <c r="AK25" s="18">
        <f t="shared" si="21"/>
        <v>0</v>
      </c>
      <c r="AL25" s="18"/>
      <c r="AM25" s="18">
        <f t="shared" si="17"/>
        <v>0</v>
      </c>
      <c r="AN25" s="8">
        <f t="shared" si="3"/>
        <v>0</v>
      </c>
      <c r="AO25" s="18"/>
      <c r="AP25" s="7">
        <f t="shared" si="7"/>
        <v>143999.99999999997</v>
      </c>
      <c r="AQ25" s="8">
        <f t="shared" si="8"/>
        <v>0</v>
      </c>
      <c r="AR25" s="8">
        <f t="shared" si="9"/>
        <v>0</v>
      </c>
      <c r="AS25" s="23"/>
      <c r="AT25" s="18">
        <f t="shared" si="22"/>
        <v>0</v>
      </c>
      <c r="AU25" s="8">
        <f t="shared" si="4"/>
        <v>0</v>
      </c>
      <c r="AV25" s="18"/>
      <c r="AW25" s="23">
        <f t="shared" si="10"/>
        <v>9522000.0000000019</v>
      </c>
      <c r="AX25" s="23">
        <f t="shared" si="18"/>
        <v>0</v>
      </c>
      <c r="AY25" s="8">
        <f t="shared" si="11"/>
        <v>0</v>
      </c>
      <c r="AZ25" s="23"/>
      <c r="BA25">
        <f t="shared" si="12"/>
        <v>20</v>
      </c>
      <c r="BB25" s="18">
        <f t="shared" si="5"/>
        <v>0</v>
      </c>
      <c r="BC25">
        <f t="shared" si="13"/>
        <v>0</v>
      </c>
      <c r="BD25">
        <f t="shared" si="6"/>
        <v>0</v>
      </c>
      <c r="BF25">
        <f t="shared" si="14"/>
        <v>20</v>
      </c>
      <c r="BG25" s="18">
        <f t="shared" si="15"/>
        <v>0</v>
      </c>
      <c r="BH25" s="18">
        <f t="shared" si="16"/>
        <v>0</v>
      </c>
      <c r="BJ25">
        <v>20</v>
      </c>
      <c r="BK25" s="8">
        <f t="shared" si="19"/>
        <v>0</v>
      </c>
      <c r="BL25" s="8"/>
      <c r="BM25" s="57">
        <v>20</v>
      </c>
      <c r="BN25" s="8">
        <f t="shared" si="20"/>
        <v>0</v>
      </c>
    </row>
    <row r="26" spans="1:66" x14ac:dyDescent="0.3">
      <c r="A26">
        <v>21</v>
      </c>
      <c r="B26" s="18">
        <f>'A01'!$H24</f>
        <v>0</v>
      </c>
      <c r="C26" s="18">
        <f>'A02'!$H24</f>
        <v>0</v>
      </c>
      <c r="D26" s="18">
        <f>'A03'!$H24</f>
        <v>0</v>
      </c>
      <c r="E26" s="18">
        <f>'A04'!$H24</f>
        <v>0</v>
      </c>
      <c r="F26" s="18">
        <f>'A05'!$H24</f>
        <v>0</v>
      </c>
      <c r="G26" s="18">
        <f>'A06'!$H24</f>
        <v>0</v>
      </c>
      <c r="H26" s="18">
        <f>'A07'!$H24</f>
        <v>0</v>
      </c>
      <c r="I26" s="18">
        <f>'A08'!$H24</f>
        <v>0</v>
      </c>
      <c r="J26" s="18">
        <f>'A09'!$H24</f>
        <v>0</v>
      </c>
      <c r="K26" s="18">
        <f>'B01'!$H24</f>
        <v>0</v>
      </c>
      <c r="L26" s="18">
        <f>'B02'!$H24</f>
        <v>0</v>
      </c>
      <c r="M26" s="18">
        <f>'B03'!$H24</f>
        <v>0</v>
      </c>
      <c r="N26" s="18">
        <f>'B04'!$H24</f>
        <v>0</v>
      </c>
      <c r="O26" s="18">
        <f>'B05'!$H24</f>
        <v>0</v>
      </c>
      <c r="P26" s="18">
        <f>'B06'!$H24</f>
        <v>0</v>
      </c>
      <c r="Q26" s="18">
        <f>'B07'!$H24</f>
        <v>0</v>
      </c>
      <c r="R26" s="18">
        <f>'B08'!$H24</f>
        <v>0</v>
      </c>
      <c r="S26" s="18">
        <f>'B09'!$H24</f>
        <v>0</v>
      </c>
      <c r="T26" s="18">
        <f>'C01'!$H24</f>
        <v>0</v>
      </c>
      <c r="U26" s="18">
        <f>'C02'!$H24</f>
        <v>0</v>
      </c>
      <c r="V26" s="18">
        <f>'C03'!$H24</f>
        <v>0</v>
      </c>
      <c r="W26" s="18">
        <f>'C04'!$H24</f>
        <v>0</v>
      </c>
      <c r="X26" s="18">
        <f>'C05'!$H24</f>
        <v>0</v>
      </c>
      <c r="Y26" s="18">
        <f>'C06'!$H24</f>
        <v>0</v>
      </c>
      <c r="Z26" s="18">
        <f>'C07'!$H24</f>
        <v>0</v>
      </c>
      <c r="AA26" s="18">
        <f>'C08'!$H24</f>
        <v>0</v>
      </c>
      <c r="AB26" s="18">
        <f>'C09'!$H24</f>
        <v>0</v>
      </c>
      <c r="AC26" s="18">
        <f>'D01'!H24</f>
        <v>0</v>
      </c>
      <c r="AD26" s="18">
        <f>'E01'!H24</f>
        <v>0</v>
      </c>
      <c r="AE26" s="18">
        <f>'F01'!H24</f>
        <v>0</v>
      </c>
      <c r="AF26" s="18">
        <f>'G01'!H28</f>
        <v>0</v>
      </c>
      <c r="AH26" s="18">
        <f t="shared" si="23"/>
        <v>0</v>
      </c>
      <c r="AI26" s="18">
        <v>0</v>
      </c>
      <c r="AJ26" s="18">
        <f>SUM(AH26:AI26)</f>
        <v>0</v>
      </c>
      <c r="AK26" s="18">
        <f>AK$3*AH26</f>
        <v>0</v>
      </c>
      <c r="AL26" s="18"/>
      <c r="AM26" s="18">
        <f t="shared" si="17"/>
        <v>0</v>
      </c>
      <c r="AN26" s="8">
        <f t="shared" si="3"/>
        <v>0</v>
      </c>
      <c r="AO26" s="18"/>
      <c r="AP26" s="7">
        <f t="shared" si="7"/>
        <v>151199.99999999997</v>
      </c>
      <c r="AQ26" s="8">
        <f t="shared" si="8"/>
        <v>0</v>
      </c>
      <c r="AR26" s="8">
        <f t="shared" si="9"/>
        <v>0</v>
      </c>
      <c r="AS26" s="23"/>
      <c r="AT26" s="497">
        <f>AT114*AM26/AT$3</f>
        <v>0</v>
      </c>
      <c r="AU26" s="8">
        <f t="shared" si="4"/>
        <v>0</v>
      </c>
      <c r="AV26" s="18"/>
      <c r="AW26" s="23">
        <f t="shared" si="10"/>
        <v>9998100.0000000019</v>
      </c>
      <c r="AX26" s="23">
        <f t="shared" si="18"/>
        <v>0</v>
      </c>
      <c r="AY26" s="8">
        <f t="shared" si="11"/>
        <v>0</v>
      </c>
      <c r="AZ26" s="23"/>
      <c r="BA26">
        <f t="shared" si="12"/>
        <v>21</v>
      </c>
      <c r="BB26" s="18">
        <f t="shared" si="5"/>
        <v>0</v>
      </c>
      <c r="BC26">
        <f t="shared" si="13"/>
        <v>0</v>
      </c>
      <c r="BD26">
        <f t="shared" si="6"/>
        <v>0</v>
      </c>
      <c r="BF26">
        <f t="shared" si="14"/>
        <v>21</v>
      </c>
      <c r="BG26" s="18">
        <f t="shared" si="15"/>
        <v>0</v>
      </c>
      <c r="BH26" s="18">
        <f t="shared" si="16"/>
        <v>0</v>
      </c>
      <c r="BJ26">
        <v>21</v>
      </c>
      <c r="BK26" s="8">
        <f t="shared" si="19"/>
        <v>0</v>
      </c>
      <c r="BL26" s="8"/>
      <c r="BM26" s="57">
        <v>21</v>
      </c>
      <c r="BN26" s="8">
        <f t="shared" si="20"/>
        <v>0</v>
      </c>
    </row>
    <row r="27" spans="1:66" x14ac:dyDescent="0.3">
      <c r="A27">
        <v>22</v>
      </c>
      <c r="B27" s="18">
        <f>'A01'!$H25</f>
        <v>0</v>
      </c>
      <c r="C27" s="18">
        <f>'A02'!$H25</f>
        <v>0</v>
      </c>
      <c r="D27" s="18">
        <f>'A03'!$H25</f>
        <v>0</v>
      </c>
      <c r="E27" s="18">
        <f>'A04'!$H25</f>
        <v>0</v>
      </c>
      <c r="F27" s="18">
        <f>'A05'!$H25</f>
        <v>0</v>
      </c>
      <c r="G27" s="18">
        <f>'A06'!$H25</f>
        <v>0</v>
      </c>
      <c r="H27" s="18">
        <f>'A07'!$H25</f>
        <v>0</v>
      </c>
      <c r="I27" s="18">
        <f>'A08'!$H25</f>
        <v>0</v>
      </c>
      <c r="J27" s="18">
        <f>'A09'!$H25</f>
        <v>0</v>
      </c>
      <c r="K27" s="18">
        <f>'B01'!$H25</f>
        <v>0</v>
      </c>
      <c r="L27" s="18">
        <f>'B02'!$H25</f>
        <v>0</v>
      </c>
      <c r="M27" s="18">
        <f>'B03'!$H25</f>
        <v>0</v>
      </c>
      <c r="N27" s="18">
        <f>'B04'!$H25</f>
        <v>0</v>
      </c>
      <c r="O27" s="18">
        <f>'B05'!$H25</f>
        <v>0</v>
      </c>
      <c r="P27" s="18">
        <f>'B06'!$H25</f>
        <v>0</v>
      </c>
      <c r="Q27" s="18">
        <f>'B07'!$H25</f>
        <v>0</v>
      </c>
      <c r="R27" s="18">
        <f>'B08'!$H25</f>
        <v>0</v>
      </c>
      <c r="S27" s="18">
        <f>'B09'!$H25</f>
        <v>0</v>
      </c>
      <c r="T27" s="18">
        <f>'C01'!$H25</f>
        <v>0</v>
      </c>
      <c r="U27" s="18">
        <f>'C02'!$H25</f>
        <v>0</v>
      </c>
      <c r="V27" s="18">
        <f>'C03'!$H25</f>
        <v>0</v>
      </c>
      <c r="W27" s="18">
        <f>'C04'!$H25</f>
        <v>0</v>
      </c>
      <c r="X27" s="18">
        <f>'C05'!$H25</f>
        <v>0</v>
      </c>
      <c r="Y27" s="18">
        <f>'C06'!$H25</f>
        <v>0</v>
      </c>
      <c r="Z27" s="18">
        <f>'C07'!$H25</f>
        <v>0</v>
      </c>
      <c r="AA27" s="18">
        <f>'C08'!$H25</f>
        <v>0</v>
      </c>
      <c r="AB27" s="18">
        <f>'C09'!$H25</f>
        <v>0</v>
      </c>
      <c r="AC27" s="18">
        <f>'D01'!H25</f>
        <v>0</v>
      </c>
      <c r="AD27" s="18">
        <f>'E01'!H25</f>
        <v>0</v>
      </c>
      <c r="AE27" s="18">
        <f>'F01'!H25</f>
        <v>0</v>
      </c>
      <c r="AF27" s="18">
        <f>'G01'!H29</f>
        <v>0</v>
      </c>
      <c r="AG27" s="18"/>
      <c r="AH27" s="18">
        <f t="shared" si="23"/>
        <v>0</v>
      </c>
      <c r="AI27" s="18">
        <v>0</v>
      </c>
      <c r="AJ27" s="18">
        <f t="shared" si="2"/>
        <v>0</v>
      </c>
      <c r="AK27" s="18">
        <f t="shared" si="21"/>
        <v>0</v>
      </c>
      <c r="AL27" s="18"/>
      <c r="AM27" s="18">
        <f t="shared" si="17"/>
        <v>0</v>
      </c>
      <c r="AN27" s="8">
        <f t="shared" si="3"/>
        <v>0</v>
      </c>
      <c r="AO27" s="18"/>
      <c r="AP27" s="7">
        <f t="shared" si="7"/>
        <v>158399.99999999997</v>
      </c>
      <c r="AQ27" s="8">
        <f t="shared" si="8"/>
        <v>0</v>
      </c>
      <c r="AR27" s="8">
        <f t="shared" si="9"/>
        <v>0</v>
      </c>
      <c r="AS27" s="23"/>
      <c r="AT27" s="18">
        <f t="shared" si="22"/>
        <v>0</v>
      </c>
      <c r="AU27" s="8">
        <f t="shared" si="4"/>
        <v>0</v>
      </c>
      <c r="AV27" s="18"/>
      <c r="AW27" s="23">
        <f t="shared" si="10"/>
        <v>10474200.000000002</v>
      </c>
      <c r="AX27" s="23">
        <f t="shared" si="18"/>
        <v>0</v>
      </c>
      <c r="AY27" s="8">
        <f t="shared" si="11"/>
        <v>0</v>
      </c>
      <c r="AZ27" s="23"/>
      <c r="BA27">
        <f t="shared" si="12"/>
        <v>22</v>
      </c>
      <c r="BB27" s="18">
        <f t="shared" si="5"/>
        <v>0</v>
      </c>
      <c r="BC27">
        <f t="shared" si="13"/>
        <v>0</v>
      </c>
      <c r="BD27">
        <f t="shared" si="6"/>
        <v>0</v>
      </c>
      <c r="BF27">
        <f t="shared" si="14"/>
        <v>22</v>
      </c>
      <c r="BG27" s="18">
        <f t="shared" si="15"/>
        <v>0</v>
      </c>
      <c r="BH27" s="18">
        <f t="shared" si="16"/>
        <v>0</v>
      </c>
      <c r="BJ27">
        <v>22</v>
      </c>
      <c r="BK27" s="8">
        <f t="shared" si="19"/>
        <v>0</v>
      </c>
      <c r="BL27" s="8"/>
      <c r="BM27" s="57">
        <v>22</v>
      </c>
      <c r="BN27" s="8">
        <f t="shared" si="20"/>
        <v>0</v>
      </c>
    </row>
    <row r="28" spans="1:66" x14ac:dyDescent="0.3">
      <c r="A28">
        <v>23</v>
      </c>
      <c r="B28" s="18">
        <f>'A01'!$H26</f>
        <v>0</v>
      </c>
      <c r="C28" s="18">
        <f>'A02'!$H26</f>
        <v>0</v>
      </c>
      <c r="D28" s="18">
        <f>'A03'!$H26</f>
        <v>0</v>
      </c>
      <c r="E28" s="18">
        <f>'A04'!$H26</f>
        <v>0</v>
      </c>
      <c r="F28" s="18">
        <f>'A05'!$H26</f>
        <v>0</v>
      </c>
      <c r="G28" s="18">
        <f>'A06'!$H26</f>
        <v>0</v>
      </c>
      <c r="H28" s="18">
        <f>'A07'!$H26</f>
        <v>0</v>
      </c>
      <c r="I28" s="18">
        <f>'A08'!$H26</f>
        <v>0</v>
      </c>
      <c r="J28" s="18">
        <f>'A09'!$H26</f>
        <v>0</v>
      </c>
      <c r="K28" s="18">
        <f>'B01'!$H26</f>
        <v>0</v>
      </c>
      <c r="L28" s="18">
        <f>'B02'!$H26</f>
        <v>0</v>
      </c>
      <c r="M28" s="18">
        <f>'B03'!$H26</f>
        <v>0</v>
      </c>
      <c r="N28" s="18">
        <f>'B04'!$H26</f>
        <v>0</v>
      </c>
      <c r="O28" s="18">
        <f>'B05'!$H26</f>
        <v>0</v>
      </c>
      <c r="P28" s="18">
        <f>'B06'!$H26</f>
        <v>0</v>
      </c>
      <c r="Q28" s="18">
        <f>'B07'!$H26</f>
        <v>0</v>
      </c>
      <c r="R28" s="18">
        <f>'B08'!$H26</f>
        <v>0</v>
      </c>
      <c r="S28" s="18">
        <f>'B09'!$H26</f>
        <v>0</v>
      </c>
      <c r="T28" s="18">
        <f>'C01'!$H26</f>
        <v>0</v>
      </c>
      <c r="U28" s="18">
        <f>'C02'!$H26</f>
        <v>0</v>
      </c>
      <c r="V28" s="18">
        <f>'C03'!$H26</f>
        <v>0</v>
      </c>
      <c r="W28" s="18">
        <f>'C04'!$H26</f>
        <v>0</v>
      </c>
      <c r="X28" s="18">
        <f>'C05'!$H26</f>
        <v>0</v>
      </c>
      <c r="Y28" s="18">
        <f>'C06'!$H26</f>
        <v>0</v>
      </c>
      <c r="Z28" s="18">
        <f>'C07'!$H26</f>
        <v>0</v>
      </c>
      <c r="AA28" s="18">
        <f>'C08'!$H26</f>
        <v>0</v>
      </c>
      <c r="AB28" s="18">
        <f>'C09'!$H26</f>
        <v>0</v>
      </c>
      <c r="AC28" s="18">
        <f>'D01'!H26</f>
        <v>0</v>
      </c>
      <c r="AD28" s="18">
        <f>'E01'!H26</f>
        <v>0</v>
      </c>
      <c r="AE28" s="18">
        <f>'F01'!H26</f>
        <v>0</v>
      </c>
      <c r="AF28" s="18">
        <f>'G01'!H30</f>
        <v>0</v>
      </c>
      <c r="AG28" s="18"/>
      <c r="AH28" s="18">
        <f t="shared" si="23"/>
        <v>0</v>
      </c>
      <c r="AI28" s="18">
        <v>0</v>
      </c>
      <c r="AJ28" s="18">
        <f t="shared" si="2"/>
        <v>0</v>
      </c>
      <c r="AK28" s="18">
        <f t="shared" si="21"/>
        <v>0</v>
      </c>
      <c r="AL28" s="18"/>
      <c r="AM28" s="18">
        <f t="shared" si="17"/>
        <v>0</v>
      </c>
      <c r="AN28" s="8">
        <f t="shared" si="3"/>
        <v>0</v>
      </c>
      <c r="AO28" s="18"/>
      <c r="AP28" s="7">
        <f t="shared" si="7"/>
        <v>165599.99999999997</v>
      </c>
      <c r="AQ28" s="8">
        <f t="shared" si="8"/>
        <v>0</v>
      </c>
      <c r="AR28" s="8">
        <f t="shared" si="9"/>
        <v>0</v>
      </c>
      <c r="AS28" s="23"/>
      <c r="AT28" s="18">
        <f t="shared" si="22"/>
        <v>0</v>
      </c>
      <c r="AU28" s="8">
        <f t="shared" si="4"/>
        <v>0</v>
      </c>
      <c r="AV28" s="18"/>
      <c r="AW28" s="23">
        <f t="shared" si="10"/>
        <v>10950300.000000002</v>
      </c>
      <c r="AX28" s="23">
        <f t="shared" si="18"/>
        <v>0</v>
      </c>
      <c r="AY28" s="8">
        <f t="shared" si="11"/>
        <v>0</v>
      </c>
      <c r="AZ28" s="23"/>
      <c r="BA28">
        <f t="shared" si="12"/>
        <v>23</v>
      </c>
      <c r="BB28" s="18">
        <f t="shared" si="5"/>
        <v>0</v>
      </c>
      <c r="BC28">
        <f t="shared" si="13"/>
        <v>0</v>
      </c>
      <c r="BD28">
        <f t="shared" si="6"/>
        <v>0</v>
      </c>
      <c r="BF28">
        <f t="shared" si="14"/>
        <v>23</v>
      </c>
      <c r="BG28" s="18">
        <f t="shared" si="15"/>
        <v>0</v>
      </c>
      <c r="BH28" s="18">
        <f t="shared" si="16"/>
        <v>0</v>
      </c>
      <c r="BJ28">
        <v>23</v>
      </c>
      <c r="BK28" s="8">
        <f t="shared" si="19"/>
        <v>0</v>
      </c>
      <c r="BL28" s="8"/>
      <c r="BM28" s="57">
        <v>23</v>
      </c>
      <c r="BN28" s="8">
        <f t="shared" si="20"/>
        <v>0</v>
      </c>
    </row>
    <row r="29" spans="1:66" x14ac:dyDescent="0.3">
      <c r="A29">
        <v>24</v>
      </c>
      <c r="B29" s="18">
        <f>'A01'!$H27</f>
        <v>0</v>
      </c>
      <c r="C29" s="18">
        <f>'A02'!$H27</f>
        <v>0</v>
      </c>
      <c r="D29" s="18">
        <f>'A03'!$H27</f>
        <v>0</v>
      </c>
      <c r="E29" s="18">
        <f>'A04'!$H27</f>
        <v>0</v>
      </c>
      <c r="F29" s="18">
        <f>'A05'!$H27</f>
        <v>0</v>
      </c>
      <c r="G29" s="18">
        <f>'A06'!$H27</f>
        <v>0</v>
      </c>
      <c r="H29" s="18">
        <f>'A07'!$H27</f>
        <v>0</v>
      </c>
      <c r="I29" s="18">
        <f>'A08'!$H27</f>
        <v>0</v>
      </c>
      <c r="J29" s="18">
        <f>'A09'!$H27</f>
        <v>0</v>
      </c>
      <c r="K29" s="18">
        <f>'B01'!$H27</f>
        <v>0</v>
      </c>
      <c r="L29" s="18">
        <f>'B02'!$H27</f>
        <v>0</v>
      </c>
      <c r="M29" s="18">
        <f>'B03'!$H27</f>
        <v>0</v>
      </c>
      <c r="N29" s="18">
        <f>'B04'!$H27</f>
        <v>0</v>
      </c>
      <c r="O29" s="18">
        <f>'B05'!$H27</f>
        <v>0</v>
      </c>
      <c r="P29" s="18">
        <f>'B06'!$H27</f>
        <v>0</v>
      </c>
      <c r="Q29" s="18">
        <f>'B07'!$H27</f>
        <v>0</v>
      </c>
      <c r="R29" s="18">
        <f>'B08'!$H27</f>
        <v>0</v>
      </c>
      <c r="S29" s="18">
        <f>'B09'!$H27</f>
        <v>0</v>
      </c>
      <c r="T29" s="18">
        <f>'C01'!$H27</f>
        <v>0</v>
      </c>
      <c r="U29" s="18">
        <f>'C02'!$H27</f>
        <v>0</v>
      </c>
      <c r="V29" s="18">
        <f>'C03'!$H27</f>
        <v>0</v>
      </c>
      <c r="W29" s="18">
        <f>'C04'!$H27</f>
        <v>0</v>
      </c>
      <c r="X29" s="18">
        <f>'C05'!$H27</f>
        <v>0</v>
      </c>
      <c r="Y29" s="18">
        <f>'C06'!$H27</f>
        <v>0</v>
      </c>
      <c r="Z29" s="18">
        <f>'C07'!$H27</f>
        <v>0</v>
      </c>
      <c r="AA29" s="18">
        <f>'C08'!$H27</f>
        <v>0</v>
      </c>
      <c r="AB29" s="18">
        <f>'C09'!$H27</f>
        <v>0</v>
      </c>
      <c r="AC29" s="18">
        <f>'D01'!H27</f>
        <v>0</v>
      </c>
      <c r="AD29" s="18">
        <f>'E01'!H27</f>
        <v>0</v>
      </c>
      <c r="AE29" s="18">
        <f>'F01'!H27</f>
        <v>0</v>
      </c>
      <c r="AF29" s="18">
        <f>'G01'!H31</f>
        <v>0</v>
      </c>
      <c r="AH29" s="18">
        <f t="shared" si="23"/>
        <v>0</v>
      </c>
      <c r="AI29" s="18">
        <v>0</v>
      </c>
      <c r="AJ29" s="18">
        <f>SUM(AH29:AI29)</f>
        <v>0</v>
      </c>
      <c r="AK29" s="18">
        <f>AK$3*AH29</f>
        <v>0</v>
      </c>
      <c r="AL29" s="18"/>
      <c r="AM29" s="18">
        <f t="shared" si="17"/>
        <v>0</v>
      </c>
      <c r="AN29" s="8">
        <f t="shared" si="3"/>
        <v>0</v>
      </c>
      <c r="AO29" s="18"/>
      <c r="AP29" s="7">
        <f t="shared" si="7"/>
        <v>172799.99999999997</v>
      </c>
      <c r="AQ29" s="8">
        <f t="shared" si="8"/>
        <v>0</v>
      </c>
      <c r="AR29" s="8">
        <f t="shared" si="9"/>
        <v>0</v>
      </c>
      <c r="AS29" s="23"/>
      <c r="AT29" s="497">
        <f>AT114*AM29/AT$3</f>
        <v>0</v>
      </c>
      <c r="AU29" s="8">
        <f t="shared" si="4"/>
        <v>0</v>
      </c>
      <c r="AV29" s="18"/>
      <c r="AW29" s="23">
        <f t="shared" si="10"/>
        <v>11426400.000000002</v>
      </c>
      <c r="AX29" s="23">
        <f t="shared" si="18"/>
        <v>0</v>
      </c>
      <c r="AY29" s="8">
        <f t="shared" si="11"/>
        <v>0</v>
      </c>
      <c r="AZ29" s="23"/>
      <c r="BA29">
        <f t="shared" si="12"/>
        <v>24</v>
      </c>
      <c r="BB29" s="18">
        <f t="shared" si="5"/>
        <v>0</v>
      </c>
      <c r="BC29">
        <f t="shared" si="13"/>
        <v>0</v>
      </c>
      <c r="BD29">
        <f t="shared" si="6"/>
        <v>0</v>
      </c>
      <c r="BF29">
        <f t="shared" si="14"/>
        <v>24</v>
      </c>
      <c r="BG29" s="18">
        <f t="shared" si="15"/>
        <v>0</v>
      </c>
      <c r="BH29" s="18">
        <f t="shared" si="16"/>
        <v>0</v>
      </c>
      <c r="BJ29">
        <v>24</v>
      </c>
      <c r="BK29" s="8">
        <f t="shared" si="19"/>
        <v>0</v>
      </c>
      <c r="BL29" s="8"/>
      <c r="BM29" s="57">
        <v>24</v>
      </c>
      <c r="BN29" s="8">
        <f t="shared" si="20"/>
        <v>0</v>
      </c>
    </row>
    <row r="30" spans="1:66" x14ac:dyDescent="0.3">
      <c r="A30">
        <v>25</v>
      </c>
      <c r="B30" s="18">
        <f>'A01'!$H28</f>
        <v>0</v>
      </c>
      <c r="C30" s="18">
        <f>'A02'!$H28</f>
        <v>0</v>
      </c>
      <c r="D30" s="18">
        <f>'A03'!$H28</f>
        <v>0</v>
      </c>
      <c r="E30" s="18">
        <f>'A04'!$H28</f>
        <v>0</v>
      </c>
      <c r="F30" s="18">
        <f>'A05'!$H28</f>
        <v>0</v>
      </c>
      <c r="G30" s="18">
        <f>'A06'!$H28</f>
        <v>0</v>
      </c>
      <c r="H30" s="18">
        <f>'A07'!$H28</f>
        <v>0</v>
      </c>
      <c r="I30" s="18">
        <f>'A08'!$H28</f>
        <v>0</v>
      </c>
      <c r="J30" s="18">
        <f>'A09'!$H28</f>
        <v>0</v>
      </c>
      <c r="K30" s="18">
        <f>'B01'!$H28</f>
        <v>0</v>
      </c>
      <c r="L30" s="18">
        <f>'B02'!$H28</f>
        <v>0</v>
      </c>
      <c r="M30" s="18">
        <f>'B03'!$H28</f>
        <v>0</v>
      </c>
      <c r="N30" s="18">
        <f>'B04'!$H28</f>
        <v>0</v>
      </c>
      <c r="O30" s="18">
        <f>'B05'!$H28</f>
        <v>0</v>
      </c>
      <c r="P30" s="18">
        <f>'B06'!$H28</f>
        <v>0</v>
      </c>
      <c r="Q30" s="18">
        <f>'B07'!$H28</f>
        <v>0</v>
      </c>
      <c r="R30" s="18">
        <f>'B08'!$H28</f>
        <v>0</v>
      </c>
      <c r="S30" s="18">
        <f>'B09'!$H28</f>
        <v>0</v>
      </c>
      <c r="T30" s="18">
        <f>'C01'!$H28</f>
        <v>0</v>
      </c>
      <c r="U30" s="18">
        <f>'C02'!$H28</f>
        <v>0</v>
      </c>
      <c r="V30" s="18">
        <f>'C03'!$H28</f>
        <v>0</v>
      </c>
      <c r="W30" s="18">
        <f>'C04'!$H28</f>
        <v>0</v>
      </c>
      <c r="X30" s="18">
        <f>'C05'!$H28</f>
        <v>0</v>
      </c>
      <c r="Y30" s="18">
        <f>'C06'!$H28</f>
        <v>0</v>
      </c>
      <c r="Z30" s="18">
        <f>'C07'!$H28</f>
        <v>0</v>
      </c>
      <c r="AA30" s="18">
        <f>'C08'!$H28</f>
        <v>0</v>
      </c>
      <c r="AB30" s="18">
        <f>'C09'!$H28</f>
        <v>0</v>
      </c>
      <c r="AC30" s="18">
        <f>'D01'!H28</f>
        <v>0</v>
      </c>
      <c r="AD30" s="18">
        <f>'E01'!H28</f>
        <v>0</v>
      </c>
      <c r="AE30" s="18">
        <f>'F01'!H28</f>
        <v>0</v>
      </c>
      <c r="AF30" s="18">
        <f>'G01'!H32</f>
        <v>0</v>
      </c>
      <c r="AG30" s="18"/>
      <c r="AH30" s="18">
        <f t="shared" si="23"/>
        <v>0</v>
      </c>
      <c r="AI30" s="18">
        <v>0</v>
      </c>
      <c r="AJ30" s="18">
        <f t="shared" si="2"/>
        <v>0</v>
      </c>
      <c r="AK30" s="18">
        <f t="shared" si="21"/>
        <v>0</v>
      </c>
      <c r="AL30" s="18"/>
      <c r="AM30" s="18">
        <f t="shared" si="17"/>
        <v>0</v>
      </c>
      <c r="AN30" s="8">
        <f t="shared" si="3"/>
        <v>0</v>
      </c>
      <c r="AO30" s="18"/>
      <c r="AP30" s="7">
        <f t="shared" si="7"/>
        <v>179999.99999999997</v>
      </c>
      <c r="AQ30" s="8">
        <f t="shared" si="8"/>
        <v>0</v>
      </c>
      <c r="AR30" s="8">
        <f t="shared" si="9"/>
        <v>0</v>
      </c>
      <c r="AS30" s="23"/>
      <c r="AT30" s="18">
        <f t="shared" si="22"/>
        <v>0</v>
      </c>
      <c r="AU30" s="8">
        <f t="shared" si="4"/>
        <v>0</v>
      </c>
      <c r="AV30" s="18"/>
      <c r="AW30" s="23">
        <f t="shared" si="10"/>
        <v>11902500.000000002</v>
      </c>
      <c r="AX30" s="23">
        <f t="shared" si="18"/>
        <v>0</v>
      </c>
      <c r="AY30" s="8">
        <f t="shared" si="11"/>
        <v>0</v>
      </c>
      <c r="AZ30" s="23"/>
      <c r="BA30">
        <f t="shared" si="12"/>
        <v>25</v>
      </c>
      <c r="BB30" s="18">
        <f t="shared" si="5"/>
        <v>0</v>
      </c>
      <c r="BC30">
        <f t="shared" si="13"/>
        <v>0</v>
      </c>
      <c r="BD30">
        <f t="shared" si="6"/>
        <v>0</v>
      </c>
      <c r="BF30">
        <f t="shared" si="14"/>
        <v>25</v>
      </c>
      <c r="BG30" s="18">
        <f t="shared" si="15"/>
        <v>0</v>
      </c>
      <c r="BH30" s="18">
        <f t="shared" si="16"/>
        <v>0</v>
      </c>
      <c r="BJ30">
        <v>25</v>
      </c>
      <c r="BK30" s="8">
        <f t="shared" si="19"/>
        <v>0</v>
      </c>
      <c r="BL30" s="8"/>
      <c r="BM30" s="57">
        <v>25</v>
      </c>
      <c r="BN30" s="8">
        <f t="shared" si="20"/>
        <v>0</v>
      </c>
    </row>
    <row r="31" spans="1:66" x14ac:dyDescent="0.3">
      <c r="A31">
        <v>26</v>
      </c>
      <c r="B31" s="18">
        <f>'A01'!$H29</f>
        <v>0</v>
      </c>
      <c r="C31" s="18">
        <f>'A02'!$H29</f>
        <v>0</v>
      </c>
      <c r="D31" s="18">
        <f>'A03'!$H29</f>
        <v>0</v>
      </c>
      <c r="E31" s="18">
        <f>'A04'!$H29</f>
        <v>0</v>
      </c>
      <c r="F31" s="18">
        <f>'A05'!$H29</f>
        <v>0</v>
      </c>
      <c r="G31" s="18">
        <f>'A06'!$H29</f>
        <v>0</v>
      </c>
      <c r="H31" s="18">
        <f>'A07'!$H29</f>
        <v>0</v>
      </c>
      <c r="I31" s="18">
        <f>'A08'!$H29</f>
        <v>0</v>
      </c>
      <c r="J31" s="18">
        <f>'A09'!$H29</f>
        <v>0</v>
      </c>
      <c r="K31" s="18">
        <f>'B01'!$H29</f>
        <v>0</v>
      </c>
      <c r="L31" s="18">
        <f>'B02'!$H29</f>
        <v>0</v>
      </c>
      <c r="M31" s="18">
        <f>'B03'!$H29</f>
        <v>0</v>
      </c>
      <c r="N31" s="18">
        <f>'B04'!$H29</f>
        <v>0</v>
      </c>
      <c r="O31" s="18">
        <f>'B05'!$H29</f>
        <v>0</v>
      </c>
      <c r="P31" s="18">
        <f>'B06'!$H29</f>
        <v>0</v>
      </c>
      <c r="Q31" s="18">
        <f>'B07'!$H29</f>
        <v>0</v>
      </c>
      <c r="R31" s="18">
        <f>'B08'!$H29</f>
        <v>0</v>
      </c>
      <c r="S31" s="18">
        <f>'B09'!$H29</f>
        <v>0</v>
      </c>
      <c r="T31" s="18">
        <f>'C01'!$H29</f>
        <v>0</v>
      </c>
      <c r="U31" s="18">
        <f>'C02'!$H29</f>
        <v>0</v>
      </c>
      <c r="V31" s="18">
        <f>'C03'!$H29</f>
        <v>0</v>
      </c>
      <c r="W31" s="18">
        <f>'C04'!$H29</f>
        <v>0</v>
      </c>
      <c r="X31" s="18">
        <f>'C05'!$H29</f>
        <v>0</v>
      </c>
      <c r="Y31" s="18">
        <f>'C06'!$H29</f>
        <v>0</v>
      </c>
      <c r="Z31" s="18">
        <f>'C07'!$H29</f>
        <v>0</v>
      </c>
      <c r="AA31" s="18">
        <f>'C08'!$H29</f>
        <v>0</v>
      </c>
      <c r="AB31" s="18">
        <f>'C09'!$H29</f>
        <v>0</v>
      </c>
      <c r="AC31" s="18">
        <f>'D01'!H29</f>
        <v>0</v>
      </c>
      <c r="AD31" s="18">
        <f>'E01'!H29</f>
        <v>0</v>
      </c>
      <c r="AE31" s="18">
        <f>'F01'!H29</f>
        <v>0</v>
      </c>
      <c r="AF31" s="18">
        <f>'G01'!H33</f>
        <v>0</v>
      </c>
      <c r="AG31" s="18"/>
      <c r="AH31" s="18">
        <f t="shared" si="23"/>
        <v>0</v>
      </c>
      <c r="AI31" s="18">
        <v>0</v>
      </c>
      <c r="AJ31" s="18">
        <f t="shared" si="2"/>
        <v>0</v>
      </c>
      <c r="AK31" s="18">
        <f t="shared" si="21"/>
        <v>0</v>
      </c>
      <c r="AL31" s="18"/>
      <c r="AM31" s="18">
        <f t="shared" si="17"/>
        <v>0</v>
      </c>
      <c r="AN31" s="8">
        <f t="shared" si="3"/>
        <v>0</v>
      </c>
      <c r="AO31" s="18"/>
      <c r="AP31" s="7">
        <f t="shared" si="7"/>
        <v>187199.99999999997</v>
      </c>
      <c r="AQ31" s="8">
        <f t="shared" si="8"/>
        <v>0</v>
      </c>
      <c r="AR31" s="8">
        <f t="shared" si="9"/>
        <v>0</v>
      </c>
      <c r="AS31" s="23"/>
      <c r="AT31" s="18">
        <f t="shared" si="22"/>
        <v>0</v>
      </c>
      <c r="AU31" s="8">
        <f t="shared" si="4"/>
        <v>0</v>
      </c>
      <c r="AV31" s="18"/>
      <c r="AW31" s="23">
        <f t="shared" si="10"/>
        <v>12378600.000000002</v>
      </c>
      <c r="AX31" s="23">
        <f t="shared" si="18"/>
        <v>0</v>
      </c>
      <c r="AY31" s="8">
        <f t="shared" si="11"/>
        <v>0</v>
      </c>
      <c r="AZ31" s="23"/>
      <c r="BA31">
        <f t="shared" si="12"/>
        <v>26</v>
      </c>
      <c r="BB31" s="18">
        <f t="shared" si="5"/>
        <v>0</v>
      </c>
      <c r="BC31">
        <f t="shared" si="13"/>
        <v>0</v>
      </c>
      <c r="BD31">
        <f t="shared" si="6"/>
        <v>0</v>
      </c>
      <c r="BF31">
        <f t="shared" si="14"/>
        <v>26</v>
      </c>
      <c r="BG31" s="18">
        <f t="shared" si="15"/>
        <v>0</v>
      </c>
      <c r="BH31" s="18">
        <f t="shared" si="16"/>
        <v>0</v>
      </c>
      <c r="BJ31">
        <v>26</v>
      </c>
      <c r="BK31" s="8">
        <f t="shared" si="19"/>
        <v>0</v>
      </c>
      <c r="BL31" s="8"/>
      <c r="BM31" s="57">
        <v>26</v>
      </c>
      <c r="BN31" s="8">
        <f t="shared" si="20"/>
        <v>0</v>
      </c>
    </row>
    <row r="32" spans="1:66" x14ac:dyDescent="0.3">
      <c r="A32">
        <v>27</v>
      </c>
      <c r="B32" s="18">
        <f>'A01'!$H30</f>
        <v>0</v>
      </c>
      <c r="C32" s="18">
        <f>'A02'!$H30</f>
        <v>0</v>
      </c>
      <c r="D32" s="18">
        <f>'A03'!$H30</f>
        <v>0</v>
      </c>
      <c r="E32" s="18">
        <f>'A04'!$H30</f>
        <v>0</v>
      </c>
      <c r="F32" s="18">
        <f>'A05'!$H30</f>
        <v>0</v>
      </c>
      <c r="G32" s="18">
        <f>'A06'!$H30</f>
        <v>0</v>
      </c>
      <c r="H32" s="18">
        <f>'A07'!$H30</f>
        <v>0</v>
      </c>
      <c r="I32" s="18">
        <f>'A08'!$H30</f>
        <v>0</v>
      </c>
      <c r="J32" s="18">
        <f>'A09'!$H30</f>
        <v>0</v>
      </c>
      <c r="K32" s="18">
        <f>'B01'!$H30</f>
        <v>0</v>
      </c>
      <c r="L32" s="18">
        <f>'B02'!$H30</f>
        <v>0</v>
      </c>
      <c r="M32" s="18">
        <f>'B03'!$H30</f>
        <v>0</v>
      </c>
      <c r="N32" s="18">
        <f>'B04'!$H30</f>
        <v>0</v>
      </c>
      <c r="O32" s="18">
        <f>'B05'!$H30</f>
        <v>0</v>
      </c>
      <c r="P32" s="18">
        <f>'B06'!$H30</f>
        <v>0</v>
      </c>
      <c r="Q32" s="18">
        <f>'B07'!$H30</f>
        <v>0</v>
      </c>
      <c r="R32" s="18">
        <f>'B08'!$H30</f>
        <v>0</v>
      </c>
      <c r="S32" s="18">
        <f>'B09'!$H30</f>
        <v>0</v>
      </c>
      <c r="T32" s="18">
        <f>'C01'!$H30</f>
        <v>0</v>
      </c>
      <c r="U32" s="18">
        <f>'C02'!$H30</f>
        <v>0</v>
      </c>
      <c r="V32" s="18">
        <f>'C03'!$H30</f>
        <v>0</v>
      </c>
      <c r="W32" s="18">
        <f>'C04'!$H30</f>
        <v>0</v>
      </c>
      <c r="X32" s="18">
        <f>'C05'!$H30</f>
        <v>0</v>
      </c>
      <c r="Y32" s="18">
        <f>'C06'!$H30</f>
        <v>0</v>
      </c>
      <c r="Z32" s="18">
        <f>'C07'!$H30</f>
        <v>0</v>
      </c>
      <c r="AA32" s="18">
        <f>'C08'!$H30</f>
        <v>0</v>
      </c>
      <c r="AB32" s="18">
        <f>'C09'!$H30</f>
        <v>0</v>
      </c>
      <c r="AC32" s="18">
        <f>'D01'!H30</f>
        <v>0</v>
      </c>
      <c r="AD32" s="18">
        <f>'E01'!H30</f>
        <v>0</v>
      </c>
      <c r="AE32" s="18">
        <f>'F01'!H30</f>
        <v>0</v>
      </c>
      <c r="AF32" s="18">
        <f>'G01'!H34</f>
        <v>0</v>
      </c>
      <c r="AH32" s="18">
        <f t="shared" si="23"/>
        <v>0</v>
      </c>
      <c r="AI32" s="18">
        <v>0</v>
      </c>
      <c r="AJ32" s="18">
        <f>SUM(AH32:AI32)</f>
        <v>0</v>
      </c>
      <c r="AK32" s="18">
        <f>AK$3*AH32</f>
        <v>0</v>
      </c>
      <c r="AL32" s="18"/>
      <c r="AM32" s="18">
        <f t="shared" si="17"/>
        <v>0</v>
      </c>
      <c r="AN32" s="8">
        <f t="shared" si="3"/>
        <v>0</v>
      </c>
      <c r="AO32" s="18"/>
      <c r="AP32" s="7">
        <f t="shared" si="7"/>
        <v>194399.99999999997</v>
      </c>
      <c r="AQ32" s="8">
        <f t="shared" si="8"/>
        <v>0</v>
      </c>
      <c r="AR32" s="8">
        <f t="shared" si="9"/>
        <v>0</v>
      </c>
      <c r="AS32" s="23"/>
      <c r="AT32" s="497">
        <f>AT114*AM32/AT$3</f>
        <v>0</v>
      </c>
      <c r="AU32" s="8">
        <f t="shared" si="4"/>
        <v>0</v>
      </c>
      <c r="AV32" s="18"/>
      <c r="AW32" s="23">
        <f t="shared" si="10"/>
        <v>12854700.000000002</v>
      </c>
      <c r="AX32" s="23">
        <f t="shared" si="18"/>
        <v>0</v>
      </c>
      <c r="AY32" s="8">
        <f t="shared" si="11"/>
        <v>0</v>
      </c>
      <c r="AZ32" s="23"/>
      <c r="BA32">
        <f t="shared" si="12"/>
        <v>27</v>
      </c>
      <c r="BB32" s="18">
        <f t="shared" si="5"/>
        <v>0</v>
      </c>
      <c r="BC32">
        <f t="shared" si="13"/>
        <v>0</v>
      </c>
      <c r="BD32">
        <f t="shared" si="6"/>
        <v>0</v>
      </c>
      <c r="BF32">
        <f t="shared" si="14"/>
        <v>27</v>
      </c>
      <c r="BG32" s="18">
        <f t="shared" si="15"/>
        <v>0</v>
      </c>
      <c r="BH32" s="18">
        <f t="shared" si="16"/>
        <v>0</v>
      </c>
      <c r="BJ32">
        <v>27</v>
      </c>
      <c r="BK32" s="8">
        <f t="shared" si="19"/>
        <v>0</v>
      </c>
      <c r="BL32" s="8"/>
      <c r="BM32" s="57">
        <v>27</v>
      </c>
      <c r="BN32" s="8">
        <f t="shared" si="20"/>
        <v>0</v>
      </c>
    </row>
    <row r="33" spans="1:66" x14ac:dyDescent="0.3">
      <c r="A33">
        <v>28</v>
      </c>
      <c r="B33" s="18">
        <f>'A01'!$H31</f>
        <v>0</v>
      </c>
      <c r="C33" s="18">
        <f>'A02'!$H31</f>
        <v>0</v>
      </c>
      <c r="D33" s="18">
        <f>'A03'!$H31</f>
        <v>0</v>
      </c>
      <c r="E33" s="18">
        <f>'A04'!$H31</f>
        <v>0</v>
      </c>
      <c r="F33" s="18">
        <f>'A05'!$H31</f>
        <v>0</v>
      </c>
      <c r="G33" s="18">
        <f>'A06'!$H31</f>
        <v>0</v>
      </c>
      <c r="H33" s="18">
        <f>'A07'!$H31</f>
        <v>0</v>
      </c>
      <c r="I33" s="18">
        <f>'A08'!$H31</f>
        <v>0</v>
      </c>
      <c r="J33" s="18">
        <f>'A09'!$H31</f>
        <v>0</v>
      </c>
      <c r="K33" s="18">
        <f>'B01'!$H31</f>
        <v>0</v>
      </c>
      <c r="L33" s="18">
        <f>'B02'!$H31</f>
        <v>0</v>
      </c>
      <c r="M33" s="18">
        <f>'B03'!$H31</f>
        <v>0</v>
      </c>
      <c r="N33" s="18">
        <f>'B04'!$H31</f>
        <v>0</v>
      </c>
      <c r="O33" s="18">
        <f>'B05'!$H31</f>
        <v>0</v>
      </c>
      <c r="P33" s="18">
        <f>'B06'!$H31</f>
        <v>0</v>
      </c>
      <c r="Q33" s="18">
        <f>'B07'!$H31</f>
        <v>0</v>
      </c>
      <c r="R33" s="18">
        <f>'B08'!$H31</f>
        <v>0</v>
      </c>
      <c r="S33" s="18">
        <f>'B09'!$H31</f>
        <v>0</v>
      </c>
      <c r="T33" s="18">
        <f>'C01'!$H31</f>
        <v>0</v>
      </c>
      <c r="U33" s="18">
        <f>'C02'!$H31</f>
        <v>0</v>
      </c>
      <c r="V33" s="18">
        <f>'C03'!$H31</f>
        <v>0</v>
      </c>
      <c r="W33" s="18">
        <f>'C04'!$H31</f>
        <v>0</v>
      </c>
      <c r="X33" s="18">
        <f>'C05'!$H31</f>
        <v>0</v>
      </c>
      <c r="Y33" s="18">
        <f>'C06'!$H31</f>
        <v>0</v>
      </c>
      <c r="Z33" s="18">
        <f>'C07'!$H31</f>
        <v>0</v>
      </c>
      <c r="AA33" s="18">
        <f>'C08'!$H31</f>
        <v>0</v>
      </c>
      <c r="AB33" s="18">
        <f>'C09'!$H31</f>
        <v>0</v>
      </c>
      <c r="AC33" s="18">
        <f>'D01'!H31</f>
        <v>0</v>
      </c>
      <c r="AD33" s="18">
        <f>'E01'!H31</f>
        <v>0</v>
      </c>
      <c r="AE33" s="18">
        <f>'F01'!H31</f>
        <v>0</v>
      </c>
      <c r="AF33" s="18">
        <f>'G01'!H35</f>
        <v>0</v>
      </c>
      <c r="AG33" s="18"/>
      <c r="AH33" s="18">
        <f t="shared" si="23"/>
        <v>0</v>
      </c>
      <c r="AI33" s="18">
        <v>0</v>
      </c>
      <c r="AJ33" s="18">
        <f t="shared" si="2"/>
        <v>0</v>
      </c>
      <c r="AK33" s="18">
        <f t="shared" si="21"/>
        <v>0</v>
      </c>
      <c r="AL33" s="18"/>
      <c r="AM33" s="18">
        <f t="shared" si="17"/>
        <v>0</v>
      </c>
      <c r="AN33" s="8">
        <f t="shared" si="3"/>
        <v>0</v>
      </c>
      <c r="AO33" s="18"/>
      <c r="AP33" s="7">
        <f t="shared" si="7"/>
        <v>201599.99999999997</v>
      </c>
      <c r="AQ33" s="8">
        <f t="shared" si="8"/>
        <v>0</v>
      </c>
      <c r="AR33" s="8">
        <f t="shared" si="9"/>
        <v>0</v>
      </c>
      <c r="AS33" s="23"/>
      <c r="AT33" s="18">
        <f t="shared" si="22"/>
        <v>0</v>
      </c>
      <c r="AU33" s="8">
        <f t="shared" si="4"/>
        <v>0</v>
      </c>
      <c r="AV33" s="18"/>
      <c r="AW33" s="23">
        <f t="shared" si="10"/>
        <v>13330800.000000002</v>
      </c>
      <c r="AX33" s="23">
        <f t="shared" si="18"/>
        <v>0</v>
      </c>
      <c r="AY33" s="8">
        <f t="shared" si="11"/>
        <v>0</v>
      </c>
      <c r="AZ33" s="23"/>
      <c r="BA33">
        <f t="shared" si="12"/>
        <v>28</v>
      </c>
      <c r="BB33" s="18">
        <f t="shared" si="5"/>
        <v>0</v>
      </c>
      <c r="BC33">
        <f t="shared" si="13"/>
        <v>0</v>
      </c>
      <c r="BD33">
        <f t="shared" si="6"/>
        <v>0</v>
      </c>
      <c r="BF33">
        <f t="shared" si="14"/>
        <v>28</v>
      </c>
      <c r="BG33" s="18">
        <f t="shared" si="15"/>
        <v>0</v>
      </c>
      <c r="BH33" s="18">
        <f t="shared" si="16"/>
        <v>0</v>
      </c>
      <c r="BJ33">
        <v>28</v>
      </c>
      <c r="BK33" s="8">
        <f t="shared" si="19"/>
        <v>0</v>
      </c>
      <c r="BL33" s="8"/>
      <c r="BM33" s="57">
        <v>28</v>
      </c>
      <c r="BN33" s="8">
        <f t="shared" si="20"/>
        <v>0</v>
      </c>
    </row>
    <row r="34" spans="1:66" x14ac:dyDescent="0.3">
      <c r="A34">
        <v>29</v>
      </c>
      <c r="B34" s="18">
        <f>'A01'!$H32</f>
        <v>0</v>
      </c>
      <c r="C34" s="18">
        <f>'A02'!$H32</f>
        <v>0</v>
      </c>
      <c r="D34" s="18">
        <f>'A03'!$H32</f>
        <v>0</v>
      </c>
      <c r="E34" s="18">
        <f>'A04'!$H32</f>
        <v>0</v>
      </c>
      <c r="F34" s="18">
        <f>'A05'!$H32</f>
        <v>0</v>
      </c>
      <c r="G34" s="18">
        <f>'A06'!$H32</f>
        <v>0</v>
      </c>
      <c r="H34" s="18">
        <f>'A07'!$H32</f>
        <v>0</v>
      </c>
      <c r="I34" s="18">
        <f>'A08'!$H32</f>
        <v>0</v>
      </c>
      <c r="J34" s="18">
        <f>'A09'!$H32</f>
        <v>0</v>
      </c>
      <c r="K34" s="18">
        <f>'B01'!$H32</f>
        <v>0</v>
      </c>
      <c r="L34" s="18">
        <f>'B02'!$H32</f>
        <v>0</v>
      </c>
      <c r="M34" s="18">
        <f>'B03'!$H32</f>
        <v>0</v>
      </c>
      <c r="N34" s="18">
        <f>'B04'!$H32</f>
        <v>0</v>
      </c>
      <c r="O34" s="18">
        <f>'B05'!$H32</f>
        <v>0</v>
      </c>
      <c r="P34" s="18">
        <f>'B06'!$H32</f>
        <v>0</v>
      </c>
      <c r="Q34" s="18">
        <f>'B07'!$H32</f>
        <v>0</v>
      </c>
      <c r="R34" s="18">
        <f>'B08'!$H32</f>
        <v>0</v>
      </c>
      <c r="S34" s="18">
        <f>'B09'!$H32</f>
        <v>0</v>
      </c>
      <c r="T34" s="18">
        <f>'C01'!$H32</f>
        <v>0</v>
      </c>
      <c r="U34" s="18">
        <f>'C02'!$H32</f>
        <v>0</v>
      </c>
      <c r="V34" s="18">
        <f>'C03'!$H32</f>
        <v>0</v>
      </c>
      <c r="W34" s="18">
        <f>'C04'!$H32</f>
        <v>0</v>
      </c>
      <c r="X34" s="18">
        <f>'C05'!$H32</f>
        <v>0</v>
      </c>
      <c r="Y34" s="18">
        <f>'C06'!$H32</f>
        <v>0</v>
      </c>
      <c r="Z34" s="18">
        <f>'C07'!$H32</f>
        <v>0</v>
      </c>
      <c r="AA34" s="18">
        <f>'C08'!$H32</f>
        <v>0</v>
      </c>
      <c r="AB34" s="18">
        <f>'C09'!$H32</f>
        <v>0</v>
      </c>
      <c r="AC34" s="18">
        <f>'D01'!H32</f>
        <v>0</v>
      </c>
      <c r="AD34" s="18">
        <f>'E01'!H32</f>
        <v>0</v>
      </c>
      <c r="AE34" s="18">
        <f>'F01'!H32</f>
        <v>0</v>
      </c>
      <c r="AF34" s="18">
        <f>'G01'!H36</f>
        <v>0</v>
      </c>
      <c r="AG34" s="18"/>
      <c r="AH34" s="18">
        <f t="shared" si="23"/>
        <v>0</v>
      </c>
      <c r="AI34" s="18">
        <v>0</v>
      </c>
      <c r="AJ34" s="18">
        <f t="shared" si="2"/>
        <v>0</v>
      </c>
      <c r="AK34" s="18">
        <f t="shared" si="21"/>
        <v>0</v>
      </c>
      <c r="AL34" s="18"/>
      <c r="AM34" s="18">
        <f t="shared" si="17"/>
        <v>0</v>
      </c>
      <c r="AN34" s="8">
        <f t="shared" si="3"/>
        <v>0</v>
      </c>
      <c r="AO34" s="18"/>
      <c r="AP34" s="7">
        <f t="shared" si="7"/>
        <v>208799.99999999997</v>
      </c>
      <c r="AQ34" s="8">
        <f t="shared" si="8"/>
        <v>0</v>
      </c>
      <c r="AR34" s="8">
        <f t="shared" si="9"/>
        <v>0</v>
      </c>
      <c r="AS34" s="23"/>
      <c r="AT34" s="18">
        <f t="shared" si="22"/>
        <v>0</v>
      </c>
      <c r="AU34" s="8">
        <f t="shared" si="4"/>
        <v>0</v>
      </c>
      <c r="AV34" s="18"/>
      <c r="AW34" s="23">
        <f t="shared" si="10"/>
        <v>13806900.000000002</v>
      </c>
      <c r="AX34" s="23">
        <f t="shared" si="18"/>
        <v>0</v>
      </c>
      <c r="AY34" s="8">
        <f t="shared" si="11"/>
        <v>0</v>
      </c>
      <c r="AZ34" s="23"/>
      <c r="BA34">
        <f t="shared" si="12"/>
        <v>29</v>
      </c>
      <c r="BB34" s="18">
        <f t="shared" si="5"/>
        <v>0</v>
      </c>
      <c r="BC34">
        <f t="shared" si="13"/>
        <v>0</v>
      </c>
      <c r="BD34">
        <f t="shared" si="6"/>
        <v>0</v>
      </c>
      <c r="BF34">
        <f t="shared" si="14"/>
        <v>29</v>
      </c>
      <c r="BG34" s="18">
        <f t="shared" si="15"/>
        <v>0</v>
      </c>
      <c r="BH34" s="18">
        <f t="shared" si="16"/>
        <v>0</v>
      </c>
      <c r="BJ34">
        <v>29</v>
      </c>
      <c r="BK34" s="8">
        <f t="shared" si="19"/>
        <v>0</v>
      </c>
      <c r="BL34" s="8"/>
      <c r="BM34" s="57">
        <v>29</v>
      </c>
      <c r="BN34" s="8">
        <f t="shared" si="20"/>
        <v>0</v>
      </c>
    </row>
    <row r="35" spans="1:66" x14ac:dyDescent="0.3">
      <c r="A35">
        <v>30</v>
      </c>
      <c r="B35" s="18">
        <f>'A01'!$H33</f>
        <v>0</v>
      </c>
      <c r="C35" s="18">
        <f>'A02'!$H33</f>
        <v>0</v>
      </c>
      <c r="D35" s="18">
        <f>'A03'!$H33</f>
        <v>0</v>
      </c>
      <c r="E35" s="18">
        <f>'A04'!$H33</f>
        <v>0</v>
      </c>
      <c r="F35" s="18">
        <f>'A05'!$H33</f>
        <v>0</v>
      </c>
      <c r="G35" s="18">
        <f>'A06'!$H33</f>
        <v>0</v>
      </c>
      <c r="H35" s="18">
        <f>'A07'!$H33</f>
        <v>0</v>
      </c>
      <c r="I35" s="18">
        <f>'A08'!$H33</f>
        <v>0</v>
      </c>
      <c r="J35" s="18">
        <f>'A09'!$H33</f>
        <v>0</v>
      </c>
      <c r="K35" s="18">
        <f>'B01'!$H33</f>
        <v>0</v>
      </c>
      <c r="L35" s="18">
        <f>'B02'!$H33</f>
        <v>0</v>
      </c>
      <c r="M35" s="18">
        <f>'B03'!$H33</f>
        <v>0</v>
      </c>
      <c r="N35" s="18">
        <f>'B04'!$H33</f>
        <v>0</v>
      </c>
      <c r="O35" s="18">
        <f>'B05'!$H33</f>
        <v>0</v>
      </c>
      <c r="P35" s="18">
        <f>'B06'!$H33</f>
        <v>0</v>
      </c>
      <c r="Q35" s="18">
        <f>'B07'!$H33</f>
        <v>0</v>
      </c>
      <c r="R35" s="18">
        <f>'B08'!$H33</f>
        <v>0</v>
      </c>
      <c r="S35" s="18">
        <f>'B09'!$H33</f>
        <v>0</v>
      </c>
      <c r="T35" s="18">
        <f>'C01'!$H33</f>
        <v>0</v>
      </c>
      <c r="U35" s="18">
        <f>'C02'!$H33</f>
        <v>0</v>
      </c>
      <c r="V35" s="18">
        <f>'C03'!$H33</f>
        <v>0</v>
      </c>
      <c r="W35" s="18">
        <f>'C04'!$H33</f>
        <v>0</v>
      </c>
      <c r="X35" s="18">
        <f>'C05'!$H33</f>
        <v>0</v>
      </c>
      <c r="Y35" s="18">
        <f>'C06'!$H33</f>
        <v>0</v>
      </c>
      <c r="Z35" s="18">
        <f>'C07'!$H33</f>
        <v>0</v>
      </c>
      <c r="AA35" s="18">
        <f>'C08'!$H33</f>
        <v>0</v>
      </c>
      <c r="AB35" s="18">
        <f>'C09'!$H33</f>
        <v>0</v>
      </c>
      <c r="AC35" s="18">
        <f>'D01'!H33</f>
        <v>0</v>
      </c>
      <c r="AD35" s="18">
        <f>'E01'!H33</f>
        <v>0</v>
      </c>
      <c r="AE35" s="18">
        <f>'F01'!H33</f>
        <v>0</v>
      </c>
      <c r="AF35" s="18">
        <f>'G01'!H37</f>
        <v>0</v>
      </c>
      <c r="AH35" s="18">
        <f t="shared" si="23"/>
        <v>0</v>
      </c>
      <c r="AI35" s="18">
        <v>0</v>
      </c>
      <c r="AJ35" s="18">
        <f>SUM(AH35:AI35)</f>
        <v>0</v>
      </c>
      <c r="AK35" s="18">
        <f>AK$3*AH35</f>
        <v>0</v>
      </c>
      <c r="AL35" s="18"/>
      <c r="AM35" s="18">
        <f t="shared" si="17"/>
        <v>0</v>
      </c>
      <c r="AN35" s="8">
        <f t="shared" si="3"/>
        <v>0</v>
      </c>
      <c r="AO35" s="18"/>
      <c r="AP35" s="7">
        <f t="shared" si="7"/>
        <v>215999.99999999997</v>
      </c>
      <c r="AQ35" s="8">
        <f t="shared" si="8"/>
        <v>0</v>
      </c>
      <c r="AR35" s="8">
        <f t="shared" si="9"/>
        <v>0</v>
      </c>
      <c r="AS35" s="23"/>
      <c r="AT35" s="497">
        <f>AT114*AM35/AT$3</f>
        <v>0</v>
      </c>
      <c r="AU35" s="8">
        <f t="shared" si="4"/>
        <v>0</v>
      </c>
      <c r="AV35" s="18"/>
      <c r="AW35" s="23">
        <f t="shared" si="10"/>
        <v>14283000.000000002</v>
      </c>
      <c r="AX35" s="23">
        <f t="shared" si="18"/>
        <v>0</v>
      </c>
      <c r="AY35" s="8">
        <f t="shared" si="11"/>
        <v>0</v>
      </c>
      <c r="AZ35" s="23"/>
      <c r="BA35">
        <f t="shared" si="12"/>
        <v>30</v>
      </c>
      <c r="BB35" s="18">
        <f t="shared" si="5"/>
        <v>0</v>
      </c>
      <c r="BC35">
        <f t="shared" si="13"/>
        <v>0</v>
      </c>
      <c r="BD35">
        <f t="shared" si="6"/>
        <v>0</v>
      </c>
      <c r="BF35">
        <f t="shared" si="14"/>
        <v>30</v>
      </c>
      <c r="BG35" s="18">
        <f t="shared" si="15"/>
        <v>0</v>
      </c>
      <c r="BH35" s="18">
        <f t="shared" si="16"/>
        <v>0</v>
      </c>
      <c r="BJ35">
        <v>30</v>
      </c>
      <c r="BK35" s="8">
        <f t="shared" si="19"/>
        <v>0</v>
      </c>
      <c r="BL35" s="8"/>
      <c r="BM35" s="57">
        <v>30</v>
      </c>
      <c r="BN35" s="8">
        <f t="shared" si="20"/>
        <v>0</v>
      </c>
    </row>
    <row r="36" spans="1:66" x14ac:dyDescent="0.3">
      <c r="A36">
        <v>31</v>
      </c>
      <c r="B36" s="18">
        <f>'A01'!$H34</f>
        <v>0</v>
      </c>
      <c r="C36" s="18">
        <f>'A02'!$H34</f>
        <v>0</v>
      </c>
      <c r="D36" s="18">
        <f>'A03'!$H34</f>
        <v>0</v>
      </c>
      <c r="E36" s="18">
        <f>'A04'!$H34</f>
        <v>0</v>
      </c>
      <c r="F36" s="18">
        <f>'A05'!$H34</f>
        <v>0</v>
      </c>
      <c r="G36" s="18">
        <f>'A06'!$H34</f>
        <v>0</v>
      </c>
      <c r="H36" s="18">
        <f>'A07'!$H34</f>
        <v>0</v>
      </c>
      <c r="I36" s="18">
        <f>'A08'!$H34</f>
        <v>0</v>
      </c>
      <c r="J36" s="18">
        <f>'A09'!$H34</f>
        <v>0</v>
      </c>
      <c r="K36" s="18">
        <f>'B01'!$H34</f>
        <v>0</v>
      </c>
      <c r="L36" s="18">
        <f>'B02'!$H34</f>
        <v>0</v>
      </c>
      <c r="M36" s="18">
        <f>'B03'!$H34</f>
        <v>0</v>
      </c>
      <c r="N36" s="18">
        <f>'B04'!$H34</f>
        <v>0</v>
      </c>
      <c r="O36" s="18">
        <f>'B05'!$H34</f>
        <v>0</v>
      </c>
      <c r="P36" s="18">
        <f>'B06'!$H34</f>
        <v>0</v>
      </c>
      <c r="Q36" s="18">
        <f>'B07'!$H34</f>
        <v>0</v>
      </c>
      <c r="R36" s="18">
        <f>'B08'!$H34</f>
        <v>0</v>
      </c>
      <c r="S36" s="18">
        <f>'B09'!$H34</f>
        <v>0</v>
      </c>
      <c r="T36" s="18">
        <f>'C01'!$H34</f>
        <v>0</v>
      </c>
      <c r="U36" s="18">
        <f>'C02'!$H34</f>
        <v>0</v>
      </c>
      <c r="V36" s="18">
        <f>'C03'!$H34</f>
        <v>0</v>
      </c>
      <c r="W36" s="18">
        <f>'C04'!$H34</f>
        <v>0</v>
      </c>
      <c r="X36" s="18">
        <f>'C05'!$H34</f>
        <v>0</v>
      </c>
      <c r="Y36" s="18">
        <f>'C06'!$H34</f>
        <v>0</v>
      </c>
      <c r="Z36" s="18">
        <f>'C07'!$H34</f>
        <v>0</v>
      </c>
      <c r="AA36" s="18">
        <f>'C08'!$H34</f>
        <v>0</v>
      </c>
      <c r="AB36" s="18">
        <f>'C09'!$H34</f>
        <v>0</v>
      </c>
      <c r="AC36" s="18">
        <f>'D01'!H34</f>
        <v>0</v>
      </c>
      <c r="AD36" s="18">
        <f>'E01'!H34</f>
        <v>0</v>
      </c>
      <c r="AE36" s="18">
        <f>'F01'!H34</f>
        <v>0</v>
      </c>
      <c r="AF36" s="18">
        <f>'G01'!H38</f>
        <v>0</v>
      </c>
      <c r="AG36" s="18"/>
      <c r="AH36" s="18">
        <f t="shared" si="23"/>
        <v>0</v>
      </c>
      <c r="AI36" s="18">
        <v>0</v>
      </c>
      <c r="AJ36" s="18">
        <f t="shared" si="2"/>
        <v>0</v>
      </c>
      <c r="AK36" s="18">
        <f t="shared" si="21"/>
        <v>0</v>
      </c>
      <c r="AL36" s="18"/>
      <c r="AM36" s="18">
        <f t="shared" si="17"/>
        <v>0</v>
      </c>
      <c r="AN36" s="8">
        <f t="shared" si="3"/>
        <v>0</v>
      </c>
      <c r="AO36" s="18"/>
      <c r="AP36" s="7">
        <f t="shared" si="7"/>
        <v>223199.99999999997</v>
      </c>
      <c r="AQ36" s="8">
        <f t="shared" si="8"/>
        <v>0</v>
      </c>
      <c r="AR36" s="8">
        <f t="shared" si="9"/>
        <v>0</v>
      </c>
      <c r="AS36" s="23"/>
      <c r="AT36" s="18">
        <f t="shared" si="22"/>
        <v>0</v>
      </c>
      <c r="AU36" s="8">
        <f t="shared" si="4"/>
        <v>0</v>
      </c>
      <c r="AV36" s="18"/>
      <c r="AW36" s="23">
        <f t="shared" si="10"/>
        <v>14759100.000000002</v>
      </c>
      <c r="AX36" s="23">
        <f t="shared" si="18"/>
        <v>0</v>
      </c>
      <c r="AY36" s="8">
        <f t="shared" si="11"/>
        <v>0</v>
      </c>
      <c r="AZ36" s="23"/>
      <c r="BA36">
        <f t="shared" si="12"/>
        <v>31</v>
      </c>
      <c r="BB36" s="18">
        <f t="shared" si="5"/>
        <v>0</v>
      </c>
      <c r="BC36">
        <f t="shared" si="13"/>
        <v>0</v>
      </c>
      <c r="BD36">
        <f t="shared" si="6"/>
        <v>0</v>
      </c>
      <c r="BF36">
        <f t="shared" si="14"/>
        <v>31</v>
      </c>
      <c r="BG36" s="18">
        <f t="shared" si="15"/>
        <v>0</v>
      </c>
      <c r="BH36" s="18">
        <f t="shared" si="16"/>
        <v>0</v>
      </c>
      <c r="BJ36">
        <v>31</v>
      </c>
      <c r="BK36" s="8">
        <f t="shared" si="19"/>
        <v>0</v>
      </c>
      <c r="BL36" s="8"/>
      <c r="BM36" s="57">
        <v>31</v>
      </c>
      <c r="BN36" s="8">
        <f t="shared" si="20"/>
        <v>0</v>
      </c>
    </row>
    <row r="37" spans="1:66" x14ac:dyDescent="0.3">
      <c r="A37">
        <v>32</v>
      </c>
      <c r="B37" s="18">
        <f>'A01'!$H35</f>
        <v>0</v>
      </c>
      <c r="C37" s="18">
        <f>'A02'!$H35</f>
        <v>0</v>
      </c>
      <c r="D37" s="18">
        <f>'A03'!$H35</f>
        <v>0</v>
      </c>
      <c r="E37" s="18">
        <f>'A04'!$H35</f>
        <v>0</v>
      </c>
      <c r="F37" s="18">
        <f>'A05'!$H35</f>
        <v>0</v>
      </c>
      <c r="G37" s="18">
        <f>'A06'!$H35</f>
        <v>0</v>
      </c>
      <c r="H37" s="18">
        <f>'A07'!$H35</f>
        <v>0</v>
      </c>
      <c r="I37" s="18">
        <f>'A08'!$H35</f>
        <v>0</v>
      </c>
      <c r="J37" s="18">
        <f>'A09'!$H35</f>
        <v>0</v>
      </c>
      <c r="K37" s="18">
        <f>'B01'!$H35</f>
        <v>0</v>
      </c>
      <c r="L37" s="18">
        <f>'B02'!$H35</f>
        <v>0</v>
      </c>
      <c r="M37" s="18">
        <f>'B03'!$H35</f>
        <v>0</v>
      </c>
      <c r="N37" s="18">
        <f>'B04'!$H35</f>
        <v>0</v>
      </c>
      <c r="O37" s="18">
        <f>'B05'!$H35</f>
        <v>0</v>
      </c>
      <c r="P37" s="18">
        <f>'B06'!$H35</f>
        <v>0</v>
      </c>
      <c r="Q37" s="18">
        <f>'B07'!$H35</f>
        <v>0</v>
      </c>
      <c r="R37" s="18">
        <f>'B08'!$H35</f>
        <v>0</v>
      </c>
      <c r="S37" s="18">
        <f>'B09'!$H35</f>
        <v>0</v>
      </c>
      <c r="T37" s="18">
        <f>'C01'!$H35</f>
        <v>0</v>
      </c>
      <c r="U37" s="18">
        <f>'C02'!$H35</f>
        <v>0</v>
      </c>
      <c r="V37" s="18">
        <f>'C03'!$H35</f>
        <v>0</v>
      </c>
      <c r="W37" s="18">
        <f>'C04'!$H35</f>
        <v>0</v>
      </c>
      <c r="X37" s="18">
        <f>'C05'!$H35</f>
        <v>0</v>
      </c>
      <c r="Y37" s="18">
        <f>'C06'!$H35</f>
        <v>0</v>
      </c>
      <c r="Z37" s="18">
        <f>'C07'!$H35</f>
        <v>0</v>
      </c>
      <c r="AA37" s="18">
        <f>'C08'!$H35</f>
        <v>0</v>
      </c>
      <c r="AB37" s="18">
        <f>'C09'!$H35</f>
        <v>0</v>
      </c>
      <c r="AC37" s="18">
        <f>'D01'!H35</f>
        <v>0</v>
      </c>
      <c r="AD37" s="18">
        <f>'E01'!H35</f>
        <v>0</v>
      </c>
      <c r="AE37" s="18">
        <f>'F01'!H35</f>
        <v>0</v>
      </c>
      <c r="AF37" s="18">
        <f>'G01'!H39</f>
        <v>0</v>
      </c>
      <c r="AG37" s="18"/>
      <c r="AH37" s="18">
        <f t="shared" si="23"/>
        <v>0</v>
      </c>
      <c r="AI37" s="18">
        <v>0</v>
      </c>
      <c r="AJ37" s="18">
        <f t="shared" si="2"/>
        <v>0</v>
      </c>
      <c r="AK37" s="18">
        <f t="shared" si="21"/>
        <v>0</v>
      </c>
      <c r="AL37" s="18"/>
      <c r="AM37" s="18">
        <f t="shared" si="17"/>
        <v>0</v>
      </c>
      <c r="AN37" s="8">
        <f t="shared" si="3"/>
        <v>0</v>
      </c>
      <c r="AO37" s="18"/>
      <c r="AP37" s="7">
        <f t="shared" si="7"/>
        <v>230399.99999999997</v>
      </c>
      <c r="AQ37" s="8">
        <f t="shared" si="8"/>
        <v>0</v>
      </c>
      <c r="AR37" s="8">
        <f t="shared" si="9"/>
        <v>0</v>
      </c>
      <c r="AS37" s="23"/>
      <c r="AT37" s="18">
        <f t="shared" si="22"/>
        <v>0</v>
      </c>
      <c r="AU37" s="8">
        <f t="shared" si="4"/>
        <v>0</v>
      </c>
      <c r="AV37" s="18"/>
      <c r="AW37" s="23">
        <f t="shared" si="10"/>
        <v>15235200.000000002</v>
      </c>
      <c r="AX37" s="23">
        <f t="shared" si="18"/>
        <v>0</v>
      </c>
      <c r="AY37" s="8">
        <f t="shared" si="11"/>
        <v>0</v>
      </c>
      <c r="AZ37" s="23"/>
      <c r="BA37">
        <f t="shared" si="12"/>
        <v>32</v>
      </c>
      <c r="BB37" s="18">
        <f t="shared" si="5"/>
        <v>0</v>
      </c>
      <c r="BC37">
        <f t="shared" si="13"/>
        <v>0</v>
      </c>
      <c r="BD37">
        <f t="shared" si="6"/>
        <v>0</v>
      </c>
      <c r="BF37">
        <f t="shared" si="14"/>
        <v>32</v>
      </c>
      <c r="BG37" s="18">
        <f t="shared" si="15"/>
        <v>0</v>
      </c>
      <c r="BH37" s="18">
        <f t="shared" si="16"/>
        <v>0</v>
      </c>
      <c r="BJ37">
        <v>32</v>
      </c>
      <c r="BK37" s="8">
        <f t="shared" si="19"/>
        <v>0</v>
      </c>
      <c r="BL37" s="8"/>
      <c r="BM37" s="57">
        <v>32</v>
      </c>
      <c r="BN37" s="8">
        <f t="shared" si="20"/>
        <v>0</v>
      </c>
    </row>
    <row r="38" spans="1:66" x14ac:dyDescent="0.3">
      <c r="A38">
        <v>33</v>
      </c>
      <c r="B38" s="18">
        <f>'A01'!$H36</f>
        <v>0</v>
      </c>
      <c r="C38" s="18">
        <f>'A02'!$H36</f>
        <v>0</v>
      </c>
      <c r="D38" s="18">
        <f>'A03'!$H36</f>
        <v>0</v>
      </c>
      <c r="E38" s="18">
        <f>'A04'!$H36</f>
        <v>0</v>
      </c>
      <c r="F38" s="18">
        <f>'A05'!$H36</f>
        <v>0</v>
      </c>
      <c r="G38" s="18">
        <f>'A06'!$H36</f>
        <v>0</v>
      </c>
      <c r="H38" s="18">
        <f>'A07'!$H36</f>
        <v>0</v>
      </c>
      <c r="I38" s="18">
        <f>'A08'!$H36</f>
        <v>0</v>
      </c>
      <c r="J38" s="18">
        <f>'A09'!$H36</f>
        <v>0</v>
      </c>
      <c r="K38" s="18">
        <f>'B01'!$H36</f>
        <v>0</v>
      </c>
      <c r="L38" s="18">
        <f>'B02'!$H36</f>
        <v>0</v>
      </c>
      <c r="M38" s="18">
        <f>'B03'!$H36</f>
        <v>0</v>
      </c>
      <c r="N38" s="18">
        <f>'B04'!$H36</f>
        <v>0</v>
      </c>
      <c r="O38" s="18">
        <f>'B05'!$H36</f>
        <v>0</v>
      </c>
      <c r="P38" s="18">
        <f>'B06'!$H36</f>
        <v>0</v>
      </c>
      <c r="Q38" s="18">
        <f>'B07'!$H36</f>
        <v>0</v>
      </c>
      <c r="R38" s="18">
        <f>'B08'!$H36</f>
        <v>0</v>
      </c>
      <c r="S38" s="18">
        <f>'B09'!$H36</f>
        <v>0</v>
      </c>
      <c r="T38" s="18">
        <f>'C01'!$H36</f>
        <v>0</v>
      </c>
      <c r="U38" s="18">
        <f>'C02'!$H36</f>
        <v>0</v>
      </c>
      <c r="V38" s="18">
        <f>'C03'!$H36</f>
        <v>0</v>
      </c>
      <c r="W38" s="18">
        <f>'C04'!$H36</f>
        <v>0</v>
      </c>
      <c r="X38" s="18">
        <f>'C05'!$H36</f>
        <v>0</v>
      </c>
      <c r="Y38" s="18">
        <f>'C06'!$H36</f>
        <v>0</v>
      </c>
      <c r="Z38" s="18">
        <f>'C07'!$H36</f>
        <v>0</v>
      </c>
      <c r="AA38" s="18">
        <f>'C08'!$H36</f>
        <v>0</v>
      </c>
      <c r="AB38" s="18">
        <f>'C09'!$H36</f>
        <v>0</v>
      </c>
      <c r="AC38" s="18">
        <f>'D01'!H36</f>
        <v>0</v>
      </c>
      <c r="AD38" s="18">
        <f>'E01'!H36</f>
        <v>0</v>
      </c>
      <c r="AE38" s="18">
        <f>'F01'!H36</f>
        <v>0</v>
      </c>
      <c r="AF38" s="18">
        <f>'G01'!H40</f>
        <v>0</v>
      </c>
      <c r="AH38" s="18">
        <f t="shared" si="23"/>
        <v>0</v>
      </c>
      <c r="AI38" s="18">
        <v>0</v>
      </c>
      <c r="AJ38" s="18">
        <f>SUM(AH38:AI38)</f>
        <v>0</v>
      </c>
      <c r="AK38" s="18">
        <f>AK$3*AH38</f>
        <v>0</v>
      </c>
      <c r="AL38" s="18"/>
      <c r="AM38" s="18">
        <f t="shared" si="17"/>
        <v>0</v>
      </c>
      <c r="AN38" s="8">
        <f t="shared" si="3"/>
        <v>0</v>
      </c>
      <c r="AO38" s="18"/>
      <c r="AP38" s="7">
        <f t="shared" si="7"/>
        <v>237599.99999999997</v>
      </c>
      <c r="AQ38" s="8">
        <f t="shared" si="8"/>
        <v>0</v>
      </c>
      <c r="AR38" s="8">
        <f t="shared" si="9"/>
        <v>0</v>
      </c>
      <c r="AS38" s="23"/>
      <c r="AT38" s="497">
        <f>AT114*AM38/AT$3</f>
        <v>0</v>
      </c>
      <c r="AU38" s="8">
        <f t="shared" si="4"/>
        <v>0</v>
      </c>
      <c r="AV38" s="18"/>
      <c r="AW38" s="23">
        <f t="shared" si="10"/>
        <v>15711300.000000002</v>
      </c>
      <c r="AX38" s="23">
        <f t="shared" si="18"/>
        <v>0</v>
      </c>
      <c r="AY38" s="8">
        <f t="shared" si="11"/>
        <v>0</v>
      </c>
      <c r="AZ38" s="23"/>
      <c r="BA38">
        <f t="shared" si="12"/>
        <v>33</v>
      </c>
      <c r="BB38" s="18">
        <f t="shared" ref="BB38:BB69" si="24">AM38</f>
        <v>0</v>
      </c>
      <c r="BC38">
        <f t="shared" si="13"/>
        <v>0</v>
      </c>
      <c r="BD38">
        <f t="shared" si="6"/>
        <v>0</v>
      </c>
      <c r="BF38">
        <f t="shared" si="14"/>
        <v>33</v>
      </c>
      <c r="BG38" s="18">
        <f t="shared" si="15"/>
        <v>0</v>
      </c>
      <c r="BH38" s="18">
        <f t="shared" si="16"/>
        <v>0</v>
      </c>
      <c r="BJ38">
        <v>33</v>
      </c>
      <c r="BK38" s="8">
        <f t="shared" si="19"/>
        <v>0</v>
      </c>
      <c r="BL38" s="8"/>
      <c r="BM38" s="57">
        <v>33</v>
      </c>
      <c r="BN38" s="8">
        <f t="shared" si="20"/>
        <v>0</v>
      </c>
    </row>
    <row r="39" spans="1:66" x14ac:dyDescent="0.3">
      <c r="A39">
        <v>34</v>
      </c>
      <c r="B39" s="18">
        <f>'A01'!$H37</f>
        <v>0</v>
      </c>
      <c r="C39" s="18">
        <f>'A02'!$H37</f>
        <v>0</v>
      </c>
      <c r="D39" s="18">
        <f>'A03'!$H37</f>
        <v>0</v>
      </c>
      <c r="E39" s="18">
        <f>'A04'!$H37</f>
        <v>0</v>
      </c>
      <c r="F39" s="18">
        <f>'A05'!$H37</f>
        <v>0</v>
      </c>
      <c r="G39" s="18">
        <f>'A06'!$H37</f>
        <v>0</v>
      </c>
      <c r="H39" s="18">
        <f>'A07'!$H37</f>
        <v>0</v>
      </c>
      <c r="I39" s="18">
        <f>'A08'!$H37</f>
        <v>0</v>
      </c>
      <c r="J39" s="18">
        <f>'A09'!$H37</f>
        <v>0</v>
      </c>
      <c r="K39" s="18">
        <f>'B01'!$H37</f>
        <v>0</v>
      </c>
      <c r="L39" s="18">
        <f>'B02'!$H37</f>
        <v>0</v>
      </c>
      <c r="M39" s="18">
        <f>'B03'!$H37</f>
        <v>0</v>
      </c>
      <c r="N39" s="18">
        <f>'B04'!$H37</f>
        <v>0</v>
      </c>
      <c r="O39" s="18">
        <f>'B05'!$H37</f>
        <v>0</v>
      </c>
      <c r="P39" s="18">
        <f>'B06'!$H37</f>
        <v>0</v>
      </c>
      <c r="Q39" s="18">
        <f>'B07'!$H37</f>
        <v>0</v>
      </c>
      <c r="R39" s="18">
        <f>'B08'!$H37</f>
        <v>0</v>
      </c>
      <c r="S39" s="18">
        <f>'B09'!$H37</f>
        <v>0</v>
      </c>
      <c r="T39" s="18">
        <f>'C01'!$H37</f>
        <v>0</v>
      </c>
      <c r="U39" s="18">
        <f>'C02'!$H37</f>
        <v>0</v>
      </c>
      <c r="V39" s="18">
        <f>'C03'!$H37</f>
        <v>0</v>
      </c>
      <c r="W39" s="18">
        <f>'C04'!$H37</f>
        <v>0</v>
      </c>
      <c r="X39" s="18">
        <f>'C05'!$H37</f>
        <v>0</v>
      </c>
      <c r="Y39" s="18">
        <f>'C06'!$H37</f>
        <v>0</v>
      </c>
      <c r="Z39" s="18">
        <f>'C07'!$H37</f>
        <v>0</v>
      </c>
      <c r="AA39" s="18">
        <f>'C08'!$H37</f>
        <v>0</v>
      </c>
      <c r="AB39" s="18">
        <f>'C09'!$H37</f>
        <v>0</v>
      </c>
      <c r="AC39" s="18">
        <f>'D01'!H37</f>
        <v>0</v>
      </c>
      <c r="AD39" s="18">
        <f>'E01'!H37</f>
        <v>0</v>
      </c>
      <c r="AE39" s="18">
        <f>'F01'!H37</f>
        <v>0</v>
      </c>
      <c r="AF39" s="18">
        <f>'G01'!H41</f>
        <v>0</v>
      </c>
      <c r="AG39" s="18"/>
      <c r="AH39" s="18">
        <f t="shared" si="23"/>
        <v>0</v>
      </c>
      <c r="AI39" s="18">
        <v>0</v>
      </c>
      <c r="AJ39" s="18">
        <f t="shared" si="2"/>
        <v>0</v>
      </c>
      <c r="AK39" s="18">
        <f t="shared" si="21"/>
        <v>0</v>
      </c>
      <c r="AL39" s="18"/>
      <c r="AM39" s="18">
        <f t="shared" si="17"/>
        <v>0</v>
      </c>
      <c r="AN39" s="8">
        <f t="shared" si="3"/>
        <v>0</v>
      </c>
      <c r="AO39" s="18"/>
      <c r="AP39" s="7">
        <f t="shared" ref="AP39:AP70" si="25">A39*AP$6</f>
        <v>244799.99999999997</v>
      </c>
      <c r="AQ39" s="8">
        <f t="shared" ref="AQ39:AQ70" si="26">AM39*AP39/1000000</f>
        <v>0</v>
      </c>
      <c r="AR39" s="8">
        <f t="shared" si="9"/>
        <v>0</v>
      </c>
      <c r="AS39" s="23"/>
      <c r="AT39" s="18">
        <f t="shared" si="22"/>
        <v>0</v>
      </c>
      <c r="AU39" s="8">
        <f t="shared" si="4"/>
        <v>0</v>
      </c>
      <c r="AV39" s="18"/>
      <c r="AW39" s="23">
        <f t="shared" ref="AW39:AW70" si="27">A39*AW$6</f>
        <v>16187400.000000002</v>
      </c>
      <c r="AX39" s="23">
        <f t="shared" si="18"/>
        <v>0</v>
      </c>
      <c r="AY39" s="8">
        <f t="shared" si="11"/>
        <v>0</v>
      </c>
      <c r="AZ39" s="23"/>
      <c r="BA39">
        <f t="shared" ref="BA39:BA70" si="28">A39</f>
        <v>34</v>
      </c>
      <c r="BB39" s="18">
        <f t="shared" si="24"/>
        <v>0</v>
      </c>
      <c r="BC39">
        <f t="shared" si="13"/>
        <v>0</v>
      </c>
      <c r="BD39">
        <f t="shared" si="6"/>
        <v>0</v>
      </c>
      <c r="BF39">
        <f t="shared" si="14"/>
        <v>34</v>
      </c>
      <c r="BG39" s="18">
        <f t="shared" si="15"/>
        <v>0</v>
      </c>
      <c r="BH39" s="18">
        <f t="shared" si="16"/>
        <v>0</v>
      </c>
      <c r="BJ39">
        <v>34</v>
      </c>
      <c r="BK39" s="8">
        <f t="shared" si="19"/>
        <v>0</v>
      </c>
      <c r="BL39" s="8"/>
      <c r="BM39" s="57">
        <v>34</v>
      </c>
      <c r="BN39" s="8">
        <f t="shared" si="20"/>
        <v>0</v>
      </c>
    </row>
    <row r="40" spans="1:66" x14ac:dyDescent="0.3">
      <c r="A40">
        <v>35</v>
      </c>
      <c r="B40" s="18">
        <f>'A01'!$H38</f>
        <v>0</v>
      </c>
      <c r="C40" s="18">
        <f>'A02'!$H38</f>
        <v>0</v>
      </c>
      <c r="D40" s="18">
        <f>'A03'!$H38</f>
        <v>0</v>
      </c>
      <c r="E40" s="18">
        <f>'A04'!$H38</f>
        <v>0</v>
      </c>
      <c r="F40" s="18">
        <f>'A05'!$H38</f>
        <v>0</v>
      </c>
      <c r="G40" s="18">
        <f>'A06'!$H38</f>
        <v>0</v>
      </c>
      <c r="H40" s="18">
        <f>'A07'!$H38</f>
        <v>0</v>
      </c>
      <c r="I40" s="18">
        <f>'A08'!$H38</f>
        <v>0</v>
      </c>
      <c r="J40" s="18">
        <f>'A09'!$H38</f>
        <v>0</v>
      </c>
      <c r="K40" s="18">
        <f>'B01'!$H38</f>
        <v>0</v>
      </c>
      <c r="L40" s="18">
        <f>'B02'!$H38</f>
        <v>0</v>
      </c>
      <c r="M40" s="18">
        <f>'B03'!$H38</f>
        <v>0</v>
      </c>
      <c r="N40" s="18">
        <f>'B04'!$H38</f>
        <v>0</v>
      </c>
      <c r="O40" s="18">
        <f>'B05'!$H38</f>
        <v>0</v>
      </c>
      <c r="P40" s="18">
        <f>'B06'!$H38</f>
        <v>0</v>
      </c>
      <c r="Q40" s="18">
        <f>'B07'!$H38</f>
        <v>0</v>
      </c>
      <c r="R40" s="18">
        <f>'B08'!$H38</f>
        <v>0</v>
      </c>
      <c r="S40" s="18">
        <f>'B09'!$H38</f>
        <v>0</v>
      </c>
      <c r="T40" s="18">
        <f>'C01'!$H38</f>
        <v>0</v>
      </c>
      <c r="U40" s="18">
        <f>'C02'!$H38</f>
        <v>0</v>
      </c>
      <c r="V40" s="18">
        <f>'C03'!$H38</f>
        <v>0</v>
      </c>
      <c r="W40" s="18">
        <f>'C04'!$H38</f>
        <v>0</v>
      </c>
      <c r="X40" s="18">
        <f>'C05'!$H38</f>
        <v>0</v>
      </c>
      <c r="Y40" s="18">
        <f>'C06'!$H38</f>
        <v>0</v>
      </c>
      <c r="Z40" s="18">
        <f>'C07'!$H38</f>
        <v>0</v>
      </c>
      <c r="AA40" s="18">
        <f>'C08'!$H38</f>
        <v>0</v>
      </c>
      <c r="AB40" s="18">
        <f>'C09'!$H38</f>
        <v>0</v>
      </c>
      <c r="AC40" s="18">
        <f>'D01'!H38</f>
        <v>0</v>
      </c>
      <c r="AD40" s="18">
        <f>'E01'!H38</f>
        <v>0</v>
      </c>
      <c r="AE40" s="18">
        <f>'F01'!H38</f>
        <v>0</v>
      </c>
      <c r="AF40" s="18">
        <f>'G01'!H42</f>
        <v>0</v>
      </c>
      <c r="AG40" s="18"/>
      <c r="AH40" s="18">
        <f t="shared" si="23"/>
        <v>0</v>
      </c>
      <c r="AI40" s="18">
        <v>0</v>
      </c>
      <c r="AJ40" s="18">
        <f t="shared" si="2"/>
        <v>0</v>
      </c>
      <c r="AK40" s="18">
        <f t="shared" si="21"/>
        <v>0</v>
      </c>
      <c r="AL40" s="18"/>
      <c r="AM40" s="18">
        <f t="shared" si="17"/>
        <v>0</v>
      </c>
      <c r="AN40" s="8">
        <f t="shared" si="3"/>
        <v>0</v>
      </c>
      <c r="AO40" s="18"/>
      <c r="AP40" s="7">
        <f t="shared" si="25"/>
        <v>251999.99999999997</v>
      </c>
      <c r="AQ40" s="8">
        <f t="shared" si="26"/>
        <v>0</v>
      </c>
      <c r="AR40" s="8">
        <f t="shared" si="9"/>
        <v>0</v>
      </c>
      <c r="AS40" s="23"/>
      <c r="AT40" s="18">
        <f t="shared" si="22"/>
        <v>0</v>
      </c>
      <c r="AU40" s="8">
        <f t="shared" si="4"/>
        <v>0</v>
      </c>
      <c r="AV40" s="18"/>
      <c r="AW40" s="23">
        <f t="shared" si="27"/>
        <v>16663500.000000002</v>
      </c>
      <c r="AX40" s="23">
        <f t="shared" si="18"/>
        <v>0</v>
      </c>
      <c r="AY40" s="8">
        <f t="shared" si="11"/>
        <v>0</v>
      </c>
      <c r="AZ40" s="23"/>
      <c r="BA40">
        <f t="shared" si="28"/>
        <v>35</v>
      </c>
      <c r="BB40" s="18">
        <f t="shared" si="24"/>
        <v>0</v>
      </c>
      <c r="BC40">
        <f t="shared" si="13"/>
        <v>0</v>
      </c>
      <c r="BD40">
        <f t="shared" si="6"/>
        <v>0</v>
      </c>
      <c r="BF40">
        <f t="shared" si="14"/>
        <v>35</v>
      </c>
      <c r="BG40" s="18">
        <f t="shared" si="15"/>
        <v>0</v>
      </c>
      <c r="BH40" s="18">
        <f t="shared" si="16"/>
        <v>0</v>
      </c>
      <c r="BJ40">
        <v>35</v>
      </c>
      <c r="BK40" s="8">
        <f t="shared" si="19"/>
        <v>0</v>
      </c>
      <c r="BL40" s="8"/>
      <c r="BM40" s="57">
        <v>35</v>
      </c>
      <c r="BN40" s="8">
        <f t="shared" si="20"/>
        <v>0</v>
      </c>
    </row>
    <row r="41" spans="1:66" x14ac:dyDescent="0.3">
      <c r="A41">
        <v>36</v>
      </c>
      <c r="B41" s="18">
        <f>'A01'!$H39</f>
        <v>0</v>
      </c>
      <c r="C41" s="18">
        <f>'A02'!$H39</f>
        <v>0</v>
      </c>
      <c r="D41" s="18">
        <f>'A03'!$H39</f>
        <v>0</v>
      </c>
      <c r="E41" s="18">
        <f>'A04'!$H39</f>
        <v>0</v>
      </c>
      <c r="F41" s="18">
        <f>'A05'!$H39</f>
        <v>0</v>
      </c>
      <c r="G41" s="18">
        <f>'A06'!$H39</f>
        <v>0</v>
      </c>
      <c r="H41" s="18">
        <f>'A07'!$H39</f>
        <v>0</v>
      </c>
      <c r="I41" s="18">
        <f>'A08'!$H39</f>
        <v>0</v>
      </c>
      <c r="J41" s="18">
        <f>'A09'!$H39</f>
        <v>0</v>
      </c>
      <c r="K41" s="18">
        <f>'B01'!$H39</f>
        <v>0</v>
      </c>
      <c r="L41" s="18">
        <f>'B02'!$H39</f>
        <v>0</v>
      </c>
      <c r="M41" s="18">
        <f>'B03'!$H39</f>
        <v>0</v>
      </c>
      <c r="N41" s="18">
        <f>'B04'!$H39</f>
        <v>0</v>
      </c>
      <c r="O41" s="18">
        <f>'B05'!$H39</f>
        <v>0</v>
      </c>
      <c r="P41" s="18">
        <f>'B06'!$H39</f>
        <v>0</v>
      </c>
      <c r="Q41" s="18">
        <f>'B07'!$H39</f>
        <v>0</v>
      </c>
      <c r="R41" s="18">
        <f>'B08'!$H39</f>
        <v>0</v>
      </c>
      <c r="S41" s="18">
        <f>'B09'!$H39</f>
        <v>0</v>
      </c>
      <c r="T41" s="18">
        <f>'C01'!$H39</f>
        <v>0</v>
      </c>
      <c r="U41" s="18">
        <f>'C02'!$H39</f>
        <v>0</v>
      </c>
      <c r="V41" s="18">
        <f>'C03'!$H39</f>
        <v>0</v>
      </c>
      <c r="W41" s="18">
        <f>'C04'!$H39</f>
        <v>0</v>
      </c>
      <c r="X41" s="18">
        <f>'C05'!$H39</f>
        <v>0</v>
      </c>
      <c r="Y41" s="18">
        <f>'C06'!$H39</f>
        <v>0</v>
      </c>
      <c r="Z41" s="18">
        <f>'C07'!$H39</f>
        <v>0</v>
      </c>
      <c r="AA41" s="18">
        <f>'C08'!$H39</f>
        <v>0</v>
      </c>
      <c r="AB41" s="18">
        <f>'C09'!$H39</f>
        <v>0</v>
      </c>
      <c r="AC41" s="18">
        <f>'D01'!H39</f>
        <v>0</v>
      </c>
      <c r="AD41" s="18">
        <f>'E01'!H39</f>
        <v>0</v>
      </c>
      <c r="AE41" s="18">
        <f>'F01'!H39</f>
        <v>0</v>
      </c>
      <c r="AF41" s="18">
        <f>'G01'!H43</f>
        <v>0</v>
      </c>
      <c r="AH41" s="18">
        <f t="shared" si="23"/>
        <v>0</v>
      </c>
      <c r="AI41" s="18">
        <v>0</v>
      </c>
      <c r="AJ41" s="18">
        <f>SUM(AH41:AI41)</f>
        <v>0</v>
      </c>
      <c r="AK41" s="18">
        <f>AK$3*AH41</f>
        <v>0</v>
      </c>
      <c r="AL41" s="18"/>
      <c r="AM41" s="18">
        <f t="shared" si="17"/>
        <v>0</v>
      </c>
      <c r="AN41" s="8">
        <f t="shared" si="3"/>
        <v>0</v>
      </c>
      <c r="AO41" s="18"/>
      <c r="AP41" s="7">
        <f t="shared" si="25"/>
        <v>259199.99999999997</v>
      </c>
      <c r="AQ41" s="8">
        <f t="shared" si="26"/>
        <v>0</v>
      </c>
      <c r="AR41" s="8">
        <f t="shared" si="9"/>
        <v>0</v>
      </c>
      <c r="AS41" s="23"/>
      <c r="AT41" s="497">
        <f>AT114*AM41/AT$3</f>
        <v>0</v>
      </c>
      <c r="AU41" s="8">
        <f t="shared" si="4"/>
        <v>0</v>
      </c>
      <c r="AV41" s="18"/>
      <c r="AW41" s="23">
        <f t="shared" si="27"/>
        <v>17139600.000000004</v>
      </c>
      <c r="AX41" s="23">
        <f t="shared" si="18"/>
        <v>0</v>
      </c>
      <c r="AY41" s="8">
        <f t="shared" si="11"/>
        <v>0</v>
      </c>
      <c r="AZ41" s="23"/>
      <c r="BA41">
        <f t="shared" si="28"/>
        <v>36</v>
      </c>
      <c r="BB41" s="18">
        <f t="shared" si="24"/>
        <v>0</v>
      </c>
      <c r="BC41">
        <f t="shared" si="13"/>
        <v>0</v>
      </c>
      <c r="BD41">
        <f t="shared" si="6"/>
        <v>0</v>
      </c>
      <c r="BF41">
        <f t="shared" si="14"/>
        <v>36</v>
      </c>
      <c r="BG41" s="18">
        <f t="shared" si="15"/>
        <v>0</v>
      </c>
      <c r="BH41" s="18">
        <f t="shared" si="16"/>
        <v>0</v>
      </c>
      <c r="BJ41">
        <v>36</v>
      </c>
      <c r="BK41" s="8">
        <f t="shared" si="19"/>
        <v>0</v>
      </c>
      <c r="BL41" s="8"/>
      <c r="BM41" s="57">
        <v>36</v>
      </c>
      <c r="BN41" s="8">
        <f t="shared" si="20"/>
        <v>0</v>
      </c>
    </row>
    <row r="42" spans="1:66" x14ac:dyDescent="0.3">
      <c r="A42">
        <v>37</v>
      </c>
      <c r="B42" s="18">
        <f>'A01'!$H40</f>
        <v>0</v>
      </c>
      <c r="C42" s="18">
        <f>'A02'!$H40</f>
        <v>0</v>
      </c>
      <c r="D42" s="18">
        <f>'A03'!$H40</f>
        <v>0</v>
      </c>
      <c r="E42" s="18">
        <f>'A04'!$H40</f>
        <v>0</v>
      </c>
      <c r="F42" s="18">
        <f>'A05'!$H40</f>
        <v>0</v>
      </c>
      <c r="G42" s="18">
        <f>'A06'!$H40</f>
        <v>0</v>
      </c>
      <c r="H42" s="18">
        <f>'A07'!$H40</f>
        <v>0</v>
      </c>
      <c r="I42" s="18">
        <f>'A08'!$H40</f>
        <v>0</v>
      </c>
      <c r="J42" s="18">
        <f>'A09'!$H40</f>
        <v>0</v>
      </c>
      <c r="K42" s="18">
        <f>'B01'!$H40</f>
        <v>0</v>
      </c>
      <c r="L42" s="18">
        <f>'B02'!$H40</f>
        <v>0</v>
      </c>
      <c r="M42" s="18">
        <f>'B03'!$H40</f>
        <v>0</v>
      </c>
      <c r="N42" s="18">
        <f>'B04'!$H40</f>
        <v>0</v>
      </c>
      <c r="O42" s="18">
        <f>'B05'!$H40</f>
        <v>0</v>
      </c>
      <c r="P42" s="18">
        <f>'B06'!$H40</f>
        <v>0</v>
      </c>
      <c r="Q42" s="18">
        <f>'B07'!$H40</f>
        <v>0</v>
      </c>
      <c r="R42" s="18">
        <f>'B08'!$H40</f>
        <v>0</v>
      </c>
      <c r="S42" s="18">
        <f>'B09'!$H40</f>
        <v>0</v>
      </c>
      <c r="T42" s="18">
        <f>'C01'!$H40</f>
        <v>0</v>
      </c>
      <c r="U42" s="18">
        <f>'C02'!$H40</f>
        <v>0</v>
      </c>
      <c r="V42" s="18">
        <f>'C03'!$H40</f>
        <v>0</v>
      </c>
      <c r="W42" s="18">
        <f>'C04'!$H40</f>
        <v>0</v>
      </c>
      <c r="X42" s="18">
        <f>'C05'!$H40</f>
        <v>0</v>
      </c>
      <c r="Y42" s="18">
        <f>'C06'!$H40</f>
        <v>0</v>
      </c>
      <c r="Z42" s="18">
        <f>'C07'!$H40</f>
        <v>0</v>
      </c>
      <c r="AA42" s="18">
        <f>'C08'!$H40</f>
        <v>0</v>
      </c>
      <c r="AB42" s="18">
        <f>'C09'!$H40</f>
        <v>0</v>
      </c>
      <c r="AC42" s="18">
        <f>'D01'!H40</f>
        <v>0</v>
      </c>
      <c r="AD42" s="18">
        <f>'E01'!H40</f>
        <v>0</v>
      </c>
      <c r="AE42" s="18">
        <f>'F01'!H40</f>
        <v>0</v>
      </c>
      <c r="AF42" s="18">
        <f>'G01'!H44</f>
        <v>0</v>
      </c>
      <c r="AG42" s="18"/>
      <c r="AH42" s="18">
        <f t="shared" si="23"/>
        <v>0</v>
      </c>
      <c r="AI42" s="18">
        <v>0</v>
      </c>
      <c r="AJ42" s="18">
        <f t="shared" si="2"/>
        <v>0</v>
      </c>
      <c r="AK42" s="18">
        <f t="shared" si="21"/>
        <v>0</v>
      </c>
      <c r="AL42" s="18"/>
      <c r="AM42" s="18">
        <f t="shared" si="17"/>
        <v>0</v>
      </c>
      <c r="AN42" s="8">
        <f t="shared" si="3"/>
        <v>0</v>
      </c>
      <c r="AO42" s="18"/>
      <c r="AP42" s="7">
        <f t="shared" si="25"/>
        <v>266399.99999999994</v>
      </c>
      <c r="AQ42" s="8">
        <f t="shared" si="26"/>
        <v>0</v>
      </c>
      <c r="AR42" s="8">
        <f t="shared" si="9"/>
        <v>0</v>
      </c>
      <c r="AS42" s="23"/>
      <c r="AT42" s="18">
        <f t="shared" si="22"/>
        <v>0</v>
      </c>
      <c r="AU42" s="8">
        <f t="shared" si="4"/>
        <v>0</v>
      </c>
      <c r="AV42" s="18"/>
      <c r="AW42" s="23">
        <f t="shared" si="27"/>
        <v>17615700.000000004</v>
      </c>
      <c r="AX42" s="23">
        <f t="shared" si="18"/>
        <v>0</v>
      </c>
      <c r="AY42" s="8">
        <f t="shared" si="11"/>
        <v>0</v>
      </c>
      <c r="AZ42" s="23"/>
      <c r="BA42">
        <f t="shared" si="28"/>
        <v>37</v>
      </c>
      <c r="BB42" s="18">
        <f t="shared" si="24"/>
        <v>0</v>
      </c>
      <c r="BC42">
        <f t="shared" si="13"/>
        <v>0</v>
      </c>
      <c r="BD42">
        <f t="shared" si="6"/>
        <v>0</v>
      </c>
      <c r="BF42">
        <f t="shared" si="14"/>
        <v>37</v>
      </c>
      <c r="BG42" s="18">
        <f t="shared" si="15"/>
        <v>0</v>
      </c>
      <c r="BH42" s="18">
        <f t="shared" si="16"/>
        <v>0</v>
      </c>
      <c r="BJ42">
        <v>37</v>
      </c>
      <c r="BK42" s="8">
        <f t="shared" si="19"/>
        <v>0</v>
      </c>
      <c r="BL42" s="8"/>
      <c r="BM42" s="57">
        <v>37</v>
      </c>
      <c r="BN42" s="8">
        <f t="shared" si="20"/>
        <v>0</v>
      </c>
    </row>
    <row r="43" spans="1:66" x14ac:dyDescent="0.3">
      <c r="A43">
        <v>38</v>
      </c>
      <c r="B43" s="18">
        <f>'A01'!$H41</f>
        <v>0</v>
      </c>
      <c r="C43" s="18">
        <f>'A02'!$H41</f>
        <v>0</v>
      </c>
      <c r="D43" s="18">
        <f>'A03'!$H41</f>
        <v>0</v>
      </c>
      <c r="E43" s="18">
        <f>'A04'!$H41</f>
        <v>0</v>
      </c>
      <c r="F43" s="18">
        <f>'A05'!$H41</f>
        <v>0</v>
      </c>
      <c r="G43" s="18">
        <f>'A06'!$H41</f>
        <v>0</v>
      </c>
      <c r="H43" s="18">
        <f>'A07'!$H41</f>
        <v>0</v>
      </c>
      <c r="I43" s="18">
        <f>'A08'!$H41</f>
        <v>0</v>
      </c>
      <c r="J43" s="18">
        <f>'A09'!$H41</f>
        <v>0</v>
      </c>
      <c r="K43" s="18">
        <f>'B01'!$H41</f>
        <v>0</v>
      </c>
      <c r="L43" s="18">
        <f>'B02'!$H41</f>
        <v>0</v>
      </c>
      <c r="M43" s="18">
        <f>'B03'!$H41</f>
        <v>0</v>
      </c>
      <c r="N43" s="18">
        <f>'B04'!$H41</f>
        <v>0</v>
      </c>
      <c r="O43" s="18">
        <f>'B05'!$H41</f>
        <v>0</v>
      </c>
      <c r="P43" s="18">
        <f>'B06'!$H41</f>
        <v>0</v>
      </c>
      <c r="Q43" s="18">
        <f>'B07'!$H41</f>
        <v>0</v>
      </c>
      <c r="R43" s="18">
        <f>'B08'!$H41</f>
        <v>0</v>
      </c>
      <c r="S43" s="18">
        <f>'B09'!$H41</f>
        <v>0</v>
      </c>
      <c r="T43" s="18">
        <f>'C01'!$H41</f>
        <v>0</v>
      </c>
      <c r="U43" s="18">
        <f>'C02'!$H41</f>
        <v>0</v>
      </c>
      <c r="V43" s="18">
        <f>'C03'!$H41</f>
        <v>0</v>
      </c>
      <c r="W43" s="18">
        <f>'C04'!$H41</f>
        <v>0</v>
      </c>
      <c r="X43" s="18">
        <f>'C05'!$H41</f>
        <v>0</v>
      </c>
      <c r="Y43" s="18">
        <f>'C06'!$H41</f>
        <v>0</v>
      </c>
      <c r="Z43" s="18">
        <f>'C07'!$H41</f>
        <v>0</v>
      </c>
      <c r="AA43" s="18">
        <f>'C08'!$H41</f>
        <v>0</v>
      </c>
      <c r="AB43" s="18">
        <f>'C09'!$H41</f>
        <v>0</v>
      </c>
      <c r="AC43" s="18">
        <f>'D01'!H41</f>
        <v>0</v>
      </c>
      <c r="AD43" s="18">
        <f>'E01'!H41</f>
        <v>0</v>
      </c>
      <c r="AE43" s="18">
        <f>'F01'!H41</f>
        <v>0</v>
      </c>
      <c r="AF43" s="18">
        <f>'G01'!H45</f>
        <v>0</v>
      </c>
      <c r="AG43" s="18"/>
      <c r="AH43" s="18">
        <f t="shared" si="23"/>
        <v>0</v>
      </c>
      <c r="AI43" s="18">
        <v>0</v>
      </c>
      <c r="AJ43" s="18">
        <f t="shared" si="2"/>
        <v>0</v>
      </c>
      <c r="AK43" s="18">
        <f t="shared" si="21"/>
        <v>0</v>
      </c>
      <c r="AL43" s="18"/>
      <c r="AM43" s="18">
        <f t="shared" si="17"/>
        <v>0</v>
      </c>
      <c r="AN43" s="8">
        <f t="shared" si="3"/>
        <v>0</v>
      </c>
      <c r="AO43" s="18"/>
      <c r="AP43" s="7">
        <f t="shared" si="25"/>
        <v>273599.99999999994</v>
      </c>
      <c r="AQ43" s="8">
        <f t="shared" si="26"/>
        <v>0</v>
      </c>
      <c r="AR43" s="8">
        <f t="shared" si="9"/>
        <v>0</v>
      </c>
      <c r="AS43" s="23"/>
      <c r="AT43" s="18">
        <f t="shared" si="22"/>
        <v>0</v>
      </c>
      <c r="AU43" s="8">
        <f t="shared" si="4"/>
        <v>0</v>
      </c>
      <c r="AV43" s="18"/>
      <c r="AW43" s="23">
        <f t="shared" si="27"/>
        <v>18091800.000000004</v>
      </c>
      <c r="AX43" s="23">
        <f t="shared" si="18"/>
        <v>0</v>
      </c>
      <c r="AY43" s="8">
        <f t="shared" si="11"/>
        <v>0</v>
      </c>
      <c r="AZ43" s="23"/>
      <c r="BA43">
        <f t="shared" si="28"/>
        <v>38</v>
      </c>
      <c r="BB43" s="18">
        <f t="shared" si="24"/>
        <v>0</v>
      </c>
      <c r="BC43">
        <f t="shared" si="13"/>
        <v>0</v>
      </c>
      <c r="BD43">
        <f t="shared" si="6"/>
        <v>0</v>
      </c>
      <c r="BF43">
        <f t="shared" si="14"/>
        <v>38</v>
      </c>
      <c r="BG43" s="18">
        <f t="shared" si="15"/>
        <v>0</v>
      </c>
      <c r="BH43" s="18">
        <f t="shared" si="16"/>
        <v>0</v>
      </c>
      <c r="BJ43">
        <v>38</v>
      </c>
      <c r="BK43" s="8">
        <f t="shared" si="19"/>
        <v>0</v>
      </c>
      <c r="BL43" s="8"/>
      <c r="BM43" s="57">
        <v>38</v>
      </c>
      <c r="BN43" s="8">
        <f t="shared" si="20"/>
        <v>0</v>
      </c>
    </row>
    <row r="44" spans="1:66" x14ac:dyDescent="0.3">
      <c r="A44">
        <v>39</v>
      </c>
      <c r="B44" s="18">
        <f>'A01'!$H42</f>
        <v>0</v>
      </c>
      <c r="C44" s="18">
        <f>'A02'!$H42</f>
        <v>0</v>
      </c>
      <c r="D44" s="18">
        <f>'A03'!$H42</f>
        <v>0</v>
      </c>
      <c r="E44" s="18">
        <f>'A04'!$H42</f>
        <v>0</v>
      </c>
      <c r="F44" s="18">
        <f>'A05'!$H42</f>
        <v>0</v>
      </c>
      <c r="G44" s="18">
        <f>'A06'!$H42</f>
        <v>0</v>
      </c>
      <c r="H44" s="18">
        <f>'A07'!$H42</f>
        <v>0</v>
      </c>
      <c r="I44" s="18">
        <f>'A08'!$H42</f>
        <v>0</v>
      </c>
      <c r="J44" s="18">
        <f>'A09'!$H42</f>
        <v>0</v>
      </c>
      <c r="K44" s="18">
        <f>'B01'!$H42</f>
        <v>0</v>
      </c>
      <c r="L44" s="18">
        <f>'B02'!$H42</f>
        <v>0</v>
      </c>
      <c r="M44" s="18">
        <f>'B03'!$H42</f>
        <v>0</v>
      </c>
      <c r="N44" s="18">
        <f>'B04'!$H42</f>
        <v>0</v>
      </c>
      <c r="O44" s="18">
        <f>'B05'!$H42</f>
        <v>0</v>
      </c>
      <c r="P44" s="18">
        <f>'B06'!$H42</f>
        <v>0</v>
      </c>
      <c r="Q44" s="18">
        <f>'B07'!$H42</f>
        <v>0</v>
      </c>
      <c r="R44" s="18">
        <f>'B08'!$H42</f>
        <v>0</v>
      </c>
      <c r="S44" s="18">
        <f>'B09'!$H42</f>
        <v>0</v>
      </c>
      <c r="T44" s="18">
        <f>'C01'!$H42</f>
        <v>0</v>
      </c>
      <c r="U44" s="18">
        <f>'C02'!$H42</f>
        <v>0</v>
      </c>
      <c r="V44" s="18">
        <f>'C03'!$H42</f>
        <v>0</v>
      </c>
      <c r="W44" s="18">
        <f>'C04'!$H42</f>
        <v>0</v>
      </c>
      <c r="X44" s="18">
        <f>'C05'!$H42</f>
        <v>0</v>
      </c>
      <c r="Y44" s="18">
        <f>'C06'!$H42</f>
        <v>0</v>
      </c>
      <c r="Z44" s="18">
        <f>'C07'!$H42</f>
        <v>0</v>
      </c>
      <c r="AA44" s="18">
        <f>'C08'!$H42</f>
        <v>0</v>
      </c>
      <c r="AB44" s="18">
        <f>'C09'!$H42</f>
        <v>0</v>
      </c>
      <c r="AC44" s="18">
        <f>'D01'!H42</f>
        <v>0</v>
      </c>
      <c r="AD44" s="18">
        <f>'E01'!H42</f>
        <v>0</v>
      </c>
      <c r="AE44" s="18">
        <f>'F01'!H42</f>
        <v>0</v>
      </c>
      <c r="AF44" s="18">
        <f>'G01'!H46</f>
        <v>0</v>
      </c>
      <c r="AH44" s="18">
        <f t="shared" si="23"/>
        <v>0</v>
      </c>
      <c r="AI44" s="18">
        <v>0</v>
      </c>
      <c r="AJ44" s="18">
        <f>SUM(AH44:AI44)</f>
        <v>0</v>
      </c>
      <c r="AK44" s="18">
        <f>AK$3*AH44</f>
        <v>0</v>
      </c>
      <c r="AL44" s="18"/>
      <c r="AM44" s="18">
        <f t="shared" si="17"/>
        <v>0</v>
      </c>
      <c r="AN44" s="8">
        <f t="shared" si="3"/>
        <v>0</v>
      </c>
      <c r="AO44" s="18"/>
      <c r="AP44" s="7">
        <f t="shared" si="25"/>
        <v>280799.99999999994</v>
      </c>
      <c r="AQ44" s="8">
        <f t="shared" si="26"/>
        <v>0</v>
      </c>
      <c r="AR44" s="8">
        <f t="shared" si="9"/>
        <v>0</v>
      </c>
      <c r="AS44" s="23"/>
      <c r="AT44" s="497">
        <f>AT114*AM44/AT$3</f>
        <v>0</v>
      </c>
      <c r="AU44" s="8">
        <f t="shared" si="4"/>
        <v>0</v>
      </c>
      <c r="AV44" s="18"/>
      <c r="AW44" s="23">
        <f t="shared" si="27"/>
        <v>18567900.000000004</v>
      </c>
      <c r="AX44" s="23">
        <f t="shared" si="18"/>
        <v>0</v>
      </c>
      <c r="AY44" s="8">
        <f t="shared" si="11"/>
        <v>0</v>
      </c>
      <c r="AZ44" s="23"/>
      <c r="BA44">
        <f t="shared" si="28"/>
        <v>39</v>
      </c>
      <c r="BB44" s="18">
        <f t="shared" si="24"/>
        <v>0</v>
      </c>
      <c r="BC44">
        <f t="shared" si="13"/>
        <v>0</v>
      </c>
      <c r="BD44">
        <f t="shared" si="6"/>
        <v>0</v>
      </c>
      <c r="BF44">
        <f t="shared" si="14"/>
        <v>39</v>
      </c>
      <c r="BG44" s="18">
        <f t="shared" si="15"/>
        <v>0</v>
      </c>
      <c r="BH44" s="18">
        <f t="shared" si="16"/>
        <v>0</v>
      </c>
      <c r="BJ44">
        <v>39</v>
      </c>
      <c r="BK44" s="8">
        <f t="shared" si="19"/>
        <v>0</v>
      </c>
      <c r="BL44" s="8"/>
      <c r="BM44" s="57">
        <v>39</v>
      </c>
      <c r="BN44" s="8">
        <f t="shared" si="20"/>
        <v>0</v>
      </c>
    </row>
    <row r="45" spans="1:66" x14ac:dyDescent="0.3">
      <c r="A45">
        <v>40</v>
      </c>
      <c r="B45" s="18">
        <f>'A01'!$H43</f>
        <v>0</v>
      </c>
      <c r="C45" s="18">
        <f>'A02'!$H43</f>
        <v>0</v>
      </c>
      <c r="D45" s="18">
        <f>'A03'!$H43</f>
        <v>0</v>
      </c>
      <c r="E45" s="18">
        <f>'A04'!$H43</f>
        <v>0</v>
      </c>
      <c r="F45" s="18">
        <f>'A05'!$H43</f>
        <v>0</v>
      </c>
      <c r="G45" s="18">
        <f>'A06'!$H43</f>
        <v>0</v>
      </c>
      <c r="H45" s="18">
        <f>'A07'!$H43</f>
        <v>0</v>
      </c>
      <c r="I45" s="18">
        <f>'A08'!$H43</f>
        <v>0</v>
      </c>
      <c r="J45" s="18">
        <f>'A09'!$H43</f>
        <v>0</v>
      </c>
      <c r="K45" s="18">
        <f>'B01'!$H43</f>
        <v>0</v>
      </c>
      <c r="L45" s="18">
        <f>'B02'!$H43</f>
        <v>0</v>
      </c>
      <c r="M45" s="18">
        <f>'B03'!$H43</f>
        <v>0</v>
      </c>
      <c r="N45" s="18">
        <f>'B04'!$H43</f>
        <v>0</v>
      </c>
      <c r="O45" s="18">
        <f>'B05'!$H43</f>
        <v>0</v>
      </c>
      <c r="P45" s="18">
        <f>'B06'!$H43</f>
        <v>0</v>
      </c>
      <c r="Q45" s="18">
        <f>'B07'!$H43</f>
        <v>0</v>
      </c>
      <c r="R45" s="18">
        <f>'B08'!$H43</f>
        <v>0</v>
      </c>
      <c r="S45" s="18">
        <f>'B09'!$H43</f>
        <v>0</v>
      </c>
      <c r="T45" s="18">
        <f>'C01'!$H43</f>
        <v>0</v>
      </c>
      <c r="U45" s="18">
        <f>'C02'!$H43</f>
        <v>0</v>
      </c>
      <c r="V45" s="18">
        <f>'C03'!$H43</f>
        <v>0</v>
      </c>
      <c r="W45" s="18">
        <f>'C04'!$H43</f>
        <v>0</v>
      </c>
      <c r="X45" s="18">
        <f>'C05'!$H43</f>
        <v>0</v>
      </c>
      <c r="Y45" s="18">
        <f>'C06'!$H43</f>
        <v>0</v>
      </c>
      <c r="Z45" s="18">
        <f>'C07'!$H43</f>
        <v>0</v>
      </c>
      <c r="AA45" s="18">
        <f>'C08'!$H43</f>
        <v>0</v>
      </c>
      <c r="AB45" s="18">
        <f>'C09'!$H43</f>
        <v>0</v>
      </c>
      <c r="AC45" s="18">
        <f>'D01'!H43</f>
        <v>0</v>
      </c>
      <c r="AD45" s="18">
        <f>'E01'!H43</f>
        <v>0</v>
      </c>
      <c r="AE45" s="18">
        <f>'F01'!H43</f>
        <v>0</v>
      </c>
      <c r="AF45" s="18">
        <f>'G01'!H47</f>
        <v>0</v>
      </c>
      <c r="AG45" s="18"/>
      <c r="AH45" s="18">
        <f t="shared" si="23"/>
        <v>0</v>
      </c>
      <c r="AI45" s="18">
        <v>0</v>
      </c>
      <c r="AJ45" s="18">
        <f t="shared" si="2"/>
        <v>0</v>
      </c>
      <c r="AK45" s="18">
        <f t="shared" si="21"/>
        <v>0</v>
      </c>
      <c r="AL45" s="18"/>
      <c r="AM45" s="18">
        <f t="shared" si="17"/>
        <v>0</v>
      </c>
      <c r="AN45" s="8">
        <f t="shared" si="3"/>
        <v>0</v>
      </c>
      <c r="AO45" s="18"/>
      <c r="AP45" s="7">
        <f t="shared" si="25"/>
        <v>287999.99999999994</v>
      </c>
      <c r="AQ45" s="8">
        <f t="shared" si="26"/>
        <v>0</v>
      </c>
      <c r="AR45" s="8">
        <f t="shared" si="9"/>
        <v>0</v>
      </c>
      <c r="AS45" s="23"/>
      <c r="AT45" s="18">
        <f t="shared" si="22"/>
        <v>0</v>
      </c>
      <c r="AU45" s="8">
        <f t="shared" si="4"/>
        <v>0</v>
      </c>
      <c r="AV45" s="18"/>
      <c r="AW45" s="23">
        <f t="shared" si="27"/>
        <v>19044000.000000004</v>
      </c>
      <c r="AX45" s="23">
        <f t="shared" si="18"/>
        <v>0</v>
      </c>
      <c r="AY45" s="8">
        <f t="shared" si="11"/>
        <v>0</v>
      </c>
      <c r="AZ45" s="23"/>
      <c r="BA45">
        <f t="shared" si="28"/>
        <v>40</v>
      </c>
      <c r="BB45" s="18">
        <f t="shared" si="24"/>
        <v>0</v>
      </c>
      <c r="BC45">
        <f t="shared" si="13"/>
        <v>0</v>
      </c>
      <c r="BD45">
        <f t="shared" si="6"/>
        <v>0</v>
      </c>
      <c r="BF45">
        <f t="shared" si="14"/>
        <v>40</v>
      </c>
      <c r="BG45" s="18">
        <f t="shared" si="15"/>
        <v>0</v>
      </c>
      <c r="BH45" s="18">
        <f t="shared" si="16"/>
        <v>0</v>
      </c>
      <c r="BJ45">
        <v>40</v>
      </c>
      <c r="BK45" s="8">
        <f t="shared" si="19"/>
        <v>0</v>
      </c>
      <c r="BL45" s="8"/>
      <c r="BM45" s="57">
        <v>40</v>
      </c>
      <c r="BN45" s="8">
        <f t="shared" si="20"/>
        <v>0</v>
      </c>
    </row>
    <row r="46" spans="1:66" x14ac:dyDescent="0.3">
      <c r="A46">
        <v>41</v>
      </c>
      <c r="B46" s="18">
        <f>'A01'!$H44</f>
        <v>0</v>
      </c>
      <c r="C46" s="18">
        <f>'A02'!$H44</f>
        <v>0</v>
      </c>
      <c r="D46" s="18">
        <f>'A03'!$H44</f>
        <v>0</v>
      </c>
      <c r="E46" s="18">
        <f>'A04'!$H44</f>
        <v>0</v>
      </c>
      <c r="F46" s="18">
        <f>'A05'!$H44</f>
        <v>0</v>
      </c>
      <c r="G46" s="18">
        <f>'A06'!$H44</f>
        <v>0</v>
      </c>
      <c r="H46" s="18">
        <f>'A07'!$H44</f>
        <v>0</v>
      </c>
      <c r="I46" s="18">
        <f>'A08'!$H44</f>
        <v>0</v>
      </c>
      <c r="J46" s="18">
        <f>'A09'!$H44</f>
        <v>0</v>
      </c>
      <c r="K46" s="18">
        <f>'B01'!$H44</f>
        <v>0</v>
      </c>
      <c r="L46" s="18">
        <f>'B02'!$H44</f>
        <v>0</v>
      </c>
      <c r="M46" s="18">
        <f>'B03'!$H44</f>
        <v>0</v>
      </c>
      <c r="N46" s="18">
        <f>'B04'!$H44</f>
        <v>0</v>
      </c>
      <c r="O46" s="18">
        <f>'B05'!$H44</f>
        <v>0</v>
      </c>
      <c r="P46" s="18">
        <f>'B06'!$H44</f>
        <v>0</v>
      </c>
      <c r="Q46" s="18">
        <f>'B07'!$H44</f>
        <v>0</v>
      </c>
      <c r="R46" s="18">
        <f>'B08'!$H44</f>
        <v>0</v>
      </c>
      <c r="S46" s="18">
        <f>'B09'!$H44</f>
        <v>0</v>
      </c>
      <c r="T46" s="18">
        <f>'C01'!$H44</f>
        <v>0</v>
      </c>
      <c r="U46" s="18">
        <f>'C02'!$H44</f>
        <v>0</v>
      </c>
      <c r="V46" s="18">
        <f>'C03'!$H44</f>
        <v>0</v>
      </c>
      <c r="W46" s="18">
        <f>'C04'!$H44</f>
        <v>0</v>
      </c>
      <c r="X46" s="18">
        <f>'C05'!$H44</f>
        <v>0</v>
      </c>
      <c r="Y46" s="18">
        <f>'C06'!$H44</f>
        <v>0</v>
      </c>
      <c r="Z46" s="18">
        <f>'C07'!$H44</f>
        <v>0</v>
      </c>
      <c r="AA46" s="18">
        <f>'C08'!$H44</f>
        <v>0</v>
      </c>
      <c r="AB46" s="18">
        <f>'C09'!$H44</f>
        <v>0</v>
      </c>
      <c r="AC46" s="18">
        <f>'D01'!H44</f>
        <v>0</v>
      </c>
      <c r="AD46" s="18">
        <f>'E01'!H44</f>
        <v>0</v>
      </c>
      <c r="AE46" s="18">
        <f>'F01'!H44</f>
        <v>0</v>
      </c>
      <c r="AF46" s="18">
        <f>'G01'!H48</f>
        <v>0</v>
      </c>
      <c r="AG46" s="18"/>
      <c r="AH46" s="18">
        <f t="shared" si="23"/>
        <v>0</v>
      </c>
      <c r="AI46" s="18">
        <v>0</v>
      </c>
      <c r="AJ46" s="18">
        <f t="shared" si="2"/>
        <v>0</v>
      </c>
      <c r="AK46" s="18">
        <f t="shared" si="21"/>
        <v>0</v>
      </c>
      <c r="AL46" s="18"/>
      <c r="AM46" s="18">
        <f t="shared" si="17"/>
        <v>0</v>
      </c>
      <c r="AN46" s="8">
        <f t="shared" si="3"/>
        <v>0</v>
      </c>
      <c r="AO46" s="18"/>
      <c r="AP46" s="7">
        <f t="shared" si="25"/>
        <v>295199.99999999994</v>
      </c>
      <c r="AQ46" s="8">
        <f t="shared" si="26"/>
        <v>0</v>
      </c>
      <c r="AR46" s="8">
        <f t="shared" si="9"/>
        <v>0</v>
      </c>
      <c r="AS46" s="23"/>
      <c r="AT46" s="18">
        <f t="shared" si="22"/>
        <v>0</v>
      </c>
      <c r="AU46" s="8">
        <f t="shared" si="4"/>
        <v>0</v>
      </c>
      <c r="AV46" s="18"/>
      <c r="AW46" s="23">
        <f t="shared" si="27"/>
        <v>19520100.000000004</v>
      </c>
      <c r="AX46" s="23">
        <f t="shared" si="18"/>
        <v>0</v>
      </c>
      <c r="AY46" s="8">
        <f t="shared" si="11"/>
        <v>0</v>
      </c>
      <c r="AZ46" s="23"/>
      <c r="BA46">
        <f t="shared" si="28"/>
        <v>41</v>
      </c>
      <c r="BB46" s="18">
        <f t="shared" si="24"/>
        <v>0</v>
      </c>
      <c r="BC46">
        <f t="shared" si="13"/>
        <v>0</v>
      </c>
      <c r="BD46">
        <f t="shared" si="6"/>
        <v>0</v>
      </c>
      <c r="BF46">
        <f t="shared" si="14"/>
        <v>41</v>
      </c>
      <c r="BG46" s="18">
        <f t="shared" si="15"/>
        <v>0</v>
      </c>
      <c r="BH46" s="18">
        <f t="shared" si="16"/>
        <v>0</v>
      </c>
      <c r="BJ46">
        <v>41</v>
      </c>
      <c r="BK46" s="8">
        <f t="shared" si="19"/>
        <v>0</v>
      </c>
      <c r="BL46" s="8"/>
      <c r="BM46" s="57">
        <v>41</v>
      </c>
      <c r="BN46" s="8">
        <f t="shared" si="20"/>
        <v>0</v>
      </c>
    </row>
    <row r="47" spans="1:66" x14ac:dyDescent="0.3">
      <c r="A47">
        <v>42</v>
      </c>
      <c r="B47" s="18">
        <f>'A01'!$H45</f>
        <v>0</v>
      </c>
      <c r="C47" s="18">
        <f>'A02'!$H45</f>
        <v>0</v>
      </c>
      <c r="D47" s="18">
        <f>'A03'!$H45</f>
        <v>0</v>
      </c>
      <c r="E47" s="18">
        <f>'A04'!$H45</f>
        <v>0</v>
      </c>
      <c r="F47" s="18">
        <f>'A05'!$H45</f>
        <v>0</v>
      </c>
      <c r="G47" s="18">
        <f>'A06'!$H45</f>
        <v>0</v>
      </c>
      <c r="H47" s="18">
        <f>'A07'!$H45</f>
        <v>0</v>
      </c>
      <c r="I47" s="18">
        <f>'A08'!$H45</f>
        <v>0</v>
      </c>
      <c r="J47" s="18">
        <f>'A09'!$H45</f>
        <v>0</v>
      </c>
      <c r="K47" s="18">
        <f>'B01'!$H45</f>
        <v>0</v>
      </c>
      <c r="L47" s="18">
        <f>'B02'!$H45</f>
        <v>0</v>
      </c>
      <c r="M47" s="18">
        <f>'B03'!$H45</f>
        <v>0</v>
      </c>
      <c r="N47" s="18">
        <f>'B04'!$H45</f>
        <v>0</v>
      </c>
      <c r="O47" s="18">
        <f>'B05'!$H45</f>
        <v>0</v>
      </c>
      <c r="P47" s="18">
        <f>'B06'!$H45</f>
        <v>0</v>
      </c>
      <c r="Q47" s="18">
        <f>'B07'!$H45</f>
        <v>0</v>
      </c>
      <c r="R47" s="18">
        <f>'B08'!$H45</f>
        <v>0</v>
      </c>
      <c r="S47" s="18">
        <f>'B09'!$H45</f>
        <v>0</v>
      </c>
      <c r="T47" s="18">
        <f>'C01'!$H45</f>
        <v>0</v>
      </c>
      <c r="U47" s="18">
        <f>'C02'!$H45</f>
        <v>0</v>
      </c>
      <c r="V47" s="18">
        <f>'C03'!$H45</f>
        <v>0</v>
      </c>
      <c r="W47" s="18">
        <f>'C04'!$H45</f>
        <v>0</v>
      </c>
      <c r="X47" s="18">
        <f>'C05'!$H45</f>
        <v>0</v>
      </c>
      <c r="Y47" s="18">
        <f>'C06'!$H45</f>
        <v>0</v>
      </c>
      <c r="Z47" s="18">
        <f>'C07'!$H45</f>
        <v>0</v>
      </c>
      <c r="AA47" s="18">
        <f>'C08'!$H45</f>
        <v>0</v>
      </c>
      <c r="AB47" s="18">
        <f>'C09'!$H45</f>
        <v>0</v>
      </c>
      <c r="AC47" s="18">
        <f>'D01'!H45</f>
        <v>0</v>
      </c>
      <c r="AD47" s="18">
        <f>'E01'!H45</f>
        <v>0</v>
      </c>
      <c r="AE47" s="18">
        <f>'F01'!H45</f>
        <v>0</v>
      </c>
      <c r="AF47" s="18">
        <f>'G01'!H49</f>
        <v>0</v>
      </c>
      <c r="AH47" s="18">
        <f t="shared" si="23"/>
        <v>0</v>
      </c>
      <c r="AI47" s="18">
        <v>0</v>
      </c>
      <c r="AJ47" s="18">
        <f>SUM(AH47:AI47)</f>
        <v>0</v>
      </c>
      <c r="AK47" s="18">
        <f>AK$3*AH47</f>
        <v>0</v>
      </c>
      <c r="AL47" s="18"/>
      <c r="AM47" s="18">
        <f t="shared" si="17"/>
        <v>0</v>
      </c>
      <c r="AN47" s="8">
        <f t="shared" si="3"/>
        <v>0</v>
      </c>
      <c r="AO47" s="18"/>
      <c r="AP47" s="7">
        <f t="shared" si="25"/>
        <v>302399.99999999994</v>
      </c>
      <c r="AQ47" s="8">
        <f t="shared" si="26"/>
        <v>0</v>
      </c>
      <c r="AR47" s="8">
        <f t="shared" si="9"/>
        <v>0</v>
      </c>
      <c r="AS47" s="23"/>
      <c r="AT47" s="497">
        <f>AT114*AM47/AT$3</f>
        <v>0</v>
      </c>
      <c r="AU47" s="8">
        <f t="shared" si="4"/>
        <v>0</v>
      </c>
      <c r="AV47" s="18"/>
      <c r="AW47" s="23">
        <f t="shared" si="27"/>
        <v>19996200.000000004</v>
      </c>
      <c r="AX47" s="23">
        <f t="shared" si="18"/>
        <v>0</v>
      </c>
      <c r="AY47" s="8">
        <f t="shared" si="11"/>
        <v>0</v>
      </c>
      <c r="AZ47" s="23"/>
      <c r="BA47">
        <f t="shared" si="28"/>
        <v>42</v>
      </c>
      <c r="BB47" s="18">
        <f t="shared" si="24"/>
        <v>0</v>
      </c>
      <c r="BC47">
        <f t="shared" si="13"/>
        <v>0</v>
      </c>
      <c r="BD47">
        <f t="shared" si="6"/>
        <v>0</v>
      </c>
      <c r="BF47">
        <f t="shared" si="14"/>
        <v>42</v>
      </c>
      <c r="BG47" s="18">
        <f t="shared" si="15"/>
        <v>0</v>
      </c>
      <c r="BH47" s="18">
        <f t="shared" si="16"/>
        <v>0</v>
      </c>
      <c r="BJ47">
        <v>42</v>
      </c>
      <c r="BK47" s="8">
        <f t="shared" si="19"/>
        <v>0</v>
      </c>
      <c r="BL47" s="8"/>
      <c r="BM47" s="57">
        <v>42</v>
      </c>
      <c r="BN47" s="8">
        <f t="shared" si="20"/>
        <v>0</v>
      </c>
    </row>
    <row r="48" spans="1:66" x14ac:dyDescent="0.3">
      <c r="A48">
        <v>43</v>
      </c>
      <c r="B48" s="18">
        <f>'A01'!$H46</f>
        <v>0</v>
      </c>
      <c r="C48" s="18">
        <f>'A02'!$H46</f>
        <v>0</v>
      </c>
      <c r="D48" s="18">
        <f>'A03'!$H46</f>
        <v>0</v>
      </c>
      <c r="E48" s="18">
        <f>'A04'!$H46</f>
        <v>0</v>
      </c>
      <c r="F48" s="18">
        <f>'A05'!$H46</f>
        <v>0</v>
      </c>
      <c r="G48" s="18">
        <f>'A06'!$H46</f>
        <v>0</v>
      </c>
      <c r="H48" s="18">
        <f>'A07'!$H46</f>
        <v>0</v>
      </c>
      <c r="I48" s="18">
        <f>'A08'!$H46</f>
        <v>0</v>
      </c>
      <c r="J48" s="18">
        <f>'A09'!$H46</f>
        <v>0</v>
      </c>
      <c r="K48" s="18">
        <f>'B01'!$H46</f>
        <v>0</v>
      </c>
      <c r="L48" s="18">
        <f>'B02'!$H46</f>
        <v>0</v>
      </c>
      <c r="M48" s="18">
        <f>'B03'!$H46</f>
        <v>0</v>
      </c>
      <c r="N48" s="18">
        <f>'B04'!$H46</f>
        <v>0</v>
      </c>
      <c r="O48" s="18">
        <f>'B05'!$H46</f>
        <v>0</v>
      </c>
      <c r="P48" s="18">
        <f>'B06'!$H46</f>
        <v>0</v>
      </c>
      <c r="Q48" s="18">
        <f>'B07'!$H46</f>
        <v>0</v>
      </c>
      <c r="R48" s="18">
        <f>'B08'!$H46</f>
        <v>0</v>
      </c>
      <c r="S48" s="18">
        <f>'B09'!$H46</f>
        <v>0</v>
      </c>
      <c r="T48" s="18">
        <f>'C01'!$H46</f>
        <v>0</v>
      </c>
      <c r="U48" s="18">
        <f>'C02'!$H46</f>
        <v>0</v>
      </c>
      <c r="V48" s="18">
        <f>'C03'!$H46</f>
        <v>0</v>
      </c>
      <c r="W48" s="18">
        <f>'C04'!$H46</f>
        <v>0</v>
      </c>
      <c r="X48" s="18">
        <f>'C05'!$H46</f>
        <v>0</v>
      </c>
      <c r="Y48" s="18">
        <f>'C06'!$H46</f>
        <v>0</v>
      </c>
      <c r="Z48" s="18">
        <f>'C07'!$H46</f>
        <v>0</v>
      </c>
      <c r="AA48" s="18">
        <f>'C08'!$H46</f>
        <v>0</v>
      </c>
      <c r="AB48" s="18">
        <f>'C09'!$H46</f>
        <v>0</v>
      </c>
      <c r="AC48" s="18">
        <f>'D01'!H46</f>
        <v>0</v>
      </c>
      <c r="AD48" s="18">
        <f>'E01'!H46</f>
        <v>0</v>
      </c>
      <c r="AE48" s="18">
        <f>'F01'!H46</f>
        <v>0</v>
      </c>
      <c r="AF48" s="18">
        <f>'G01'!H50</f>
        <v>0</v>
      </c>
      <c r="AG48" s="18"/>
      <c r="AH48" s="18">
        <f t="shared" si="23"/>
        <v>0</v>
      </c>
      <c r="AI48" s="18">
        <v>0</v>
      </c>
      <c r="AJ48" s="18">
        <f t="shared" si="2"/>
        <v>0</v>
      </c>
      <c r="AK48" s="18">
        <f t="shared" si="21"/>
        <v>0</v>
      </c>
      <c r="AL48" s="18"/>
      <c r="AM48" s="18">
        <f t="shared" si="17"/>
        <v>0</v>
      </c>
      <c r="AN48" s="8">
        <f t="shared" si="3"/>
        <v>0</v>
      </c>
      <c r="AO48" s="18"/>
      <c r="AP48" s="7">
        <f t="shared" si="25"/>
        <v>309599.99999999994</v>
      </c>
      <c r="AQ48" s="8">
        <f t="shared" si="26"/>
        <v>0</v>
      </c>
      <c r="AR48" s="8">
        <f t="shared" si="9"/>
        <v>0</v>
      </c>
      <c r="AS48" s="23"/>
      <c r="AT48" s="18">
        <f t="shared" si="22"/>
        <v>0</v>
      </c>
      <c r="AU48" s="8">
        <f t="shared" si="4"/>
        <v>0</v>
      </c>
      <c r="AV48" s="18"/>
      <c r="AW48" s="23">
        <f t="shared" si="27"/>
        <v>20472300.000000004</v>
      </c>
      <c r="AX48" s="23">
        <f t="shared" si="18"/>
        <v>0</v>
      </c>
      <c r="AY48" s="8">
        <f t="shared" si="11"/>
        <v>0</v>
      </c>
      <c r="AZ48" s="23"/>
      <c r="BA48">
        <f t="shared" si="28"/>
        <v>43</v>
      </c>
      <c r="BB48" s="18">
        <f t="shared" si="24"/>
        <v>0</v>
      </c>
      <c r="BC48">
        <f t="shared" si="13"/>
        <v>0</v>
      </c>
      <c r="BD48">
        <f t="shared" si="6"/>
        <v>0</v>
      </c>
      <c r="BF48">
        <f t="shared" si="14"/>
        <v>43</v>
      </c>
      <c r="BG48" s="18">
        <f t="shared" si="15"/>
        <v>0</v>
      </c>
      <c r="BH48" s="18">
        <f t="shared" si="16"/>
        <v>0</v>
      </c>
      <c r="BJ48">
        <v>43</v>
      </c>
      <c r="BK48" s="8">
        <f t="shared" si="19"/>
        <v>0</v>
      </c>
      <c r="BL48" s="8"/>
      <c r="BM48" s="57">
        <v>43</v>
      </c>
      <c r="BN48" s="8">
        <f t="shared" si="20"/>
        <v>0</v>
      </c>
    </row>
    <row r="49" spans="1:66" x14ac:dyDescent="0.3">
      <c r="A49">
        <v>44</v>
      </c>
      <c r="B49" s="18">
        <f>'A01'!$H47</f>
        <v>0</v>
      </c>
      <c r="C49" s="18">
        <f>'A02'!$H47</f>
        <v>0</v>
      </c>
      <c r="D49" s="18">
        <f>'A03'!$H47</f>
        <v>0</v>
      </c>
      <c r="E49" s="18">
        <f>'A04'!$H47</f>
        <v>0</v>
      </c>
      <c r="F49" s="18">
        <f>'A05'!$H47</f>
        <v>0</v>
      </c>
      <c r="G49" s="18">
        <f>'A06'!$H47</f>
        <v>0</v>
      </c>
      <c r="H49" s="18">
        <f>'A07'!$H47</f>
        <v>0</v>
      </c>
      <c r="I49" s="18">
        <f>'A08'!$H47</f>
        <v>0</v>
      </c>
      <c r="J49" s="18">
        <f>'A09'!$H47</f>
        <v>0</v>
      </c>
      <c r="K49" s="18">
        <f>'B01'!$H47</f>
        <v>0</v>
      </c>
      <c r="L49" s="18">
        <f>'B02'!$H47</f>
        <v>0</v>
      </c>
      <c r="M49" s="18">
        <f>'B03'!$H47</f>
        <v>0</v>
      </c>
      <c r="N49" s="18">
        <f>'B04'!$H47</f>
        <v>0</v>
      </c>
      <c r="O49" s="18">
        <f>'B05'!$H47</f>
        <v>0</v>
      </c>
      <c r="P49" s="18">
        <f>'B06'!$H47</f>
        <v>0</v>
      </c>
      <c r="Q49" s="18">
        <f>'B07'!$H47</f>
        <v>0</v>
      </c>
      <c r="R49" s="18">
        <f>'B08'!$H47</f>
        <v>0</v>
      </c>
      <c r="S49" s="18">
        <f>'B09'!$H47</f>
        <v>0</v>
      </c>
      <c r="T49" s="18">
        <f>'C01'!$H47</f>
        <v>0</v>
      </c>
      <c r="U49" s="18">
        <f>'C02'!$H47</f>
        <v>0</v>
      </c>
      <c r="V49" s="18">
        <f>'C03'!$H47</f>
        <v>0</v>
      </c>
      <c r="W49" s="18">
        <f>'C04'!$H47</f>
        <v>0</v>
      </c>
      <c r="X49" s="18">
        <f>'C05'!$H47</f>
        <v>0</v>
      </c>
      <c r="Y49" s="18">
        <f>'C06'!$H47</f>
        <v>0</v>
      </c>
      <c r="Z49" s="18">
        <f>'C07'!$H47</f>
        <v>0</v>
      </c>
      <c r="AA49" s="18">
        <f>'C08'!$H47</f>
        <v>0</v>
      </c>
      <c r="AB49" s="18">
        <f>'C09'!$H47</f>
        <v>0</v>
      </c>
      <c r="AC49" s="18">
        <f>'D01'!H47</f>
        <v>0</v>
      </c>
      <c r="AD49" s="18">
        <f>'E01'!H47</f>
        <v>0</v>
      </c>
      <c r="AE49" s="18">
        <f>'F01'!H47</f>
        <v>0</v>
      </c>
      <c r="AF49" s="18">
        <f>'G01'!H51</f>
        <v>0</v>
      </c>
      <c r="AG49" s="18"/>
      <c r="AH49" s="18">
        <f t="shared" si="23"/>
        <v>0</v>
      </c>
      <c r="AI49" s="18">
        <v>0</v>
      </c>
      <c r="AJ49" s="18">
        <f t="shared" si="2"/>
        <v>0</v>
      </c>
      <c r="AK49" s="18">
        <f t="shared" si="21"/>
        <v>0</v>
      </c>
      <c r="AL49" s="18"/>
      <c r="AM49" s="18">
        <f t="shared" si="17"/>
        <v>0</v>
      </c>
      <c r="AN49" s="8">
        <f t="shared" si="3"/>
        <v>0</v>
      </c>
      <c r="AO49" s="18"/>
      <c r="AP49" s="7">
        <f t="shared" si="25"/>
        <v>316799.99999999994</v>
      </c>
      <c r="AQ49" s="8">
        <f t="shared" si="26"/>
        <v>0</v>
      </c>
      <c r="AR49" s="8">
        <f t="shared" si="9"/>
        <v>0</v>
      </c>
      <c r="AS49" s="23"/>
      <c r="AT49" s="18">
        <f t="shared" si="22"/>
        <v>0</v>
      </c>
      <c r="AU49" s="8">
        <f t="shared" si="4"/>
        <v>0</v>
      </c>
      <c r="AV49" s="18"/>
      <c r="AW49" s="23">
        <f t="shared" si="27"/>
        <v>20948400.000000004</v>
      </c>
      <c r="AX49" s="23">
        <f t="shared" si="18"/>
        <v>0</v>
      </c>
      <c r="AY49" s="8">
        <f t="shared" si="11"/>
        <v>0</v>
      </c>
      <c r="AZ49" s="23"/>
      <c r="BA49">
        <f t="shared" si="28"/>
        <v>44</v>
      </c>
      <c r="BB49" s="18">
        <f t="shared" si="24"/>
        <v>0</v>
      </c>
      <c r="BC49">
        <f t="shared" si="13"/>
        <v>0</v>
      </c>
      <c r="BD49">
        <f t="shared" si="6"/>
        <v>0</v>
      </c>
      <c r="BF49">
        <f t="shared" si="14"/>
        <v>44</v>
      </c>
      <c r="BG49" s="18">
        <f t="shared" si="15"/>
        <v>0</v>
      </c>
      <c r="BH49" s="18">
        <f t="shared" si="16"/>
        <v>0</v>
      </c>
      <c r="BJ49">
        <v>44</v>
      </c>
      <c r="BK49" s="8">
        <f t="shared" si="19"/>
        <v>0</v>
      </c>
      <c r="BL49" s="8"/>
      <c r="BM49" s="57">
        <v>44</v>
      </c>
      <c r="BN49" s="8">
        <f t="shared" si="20"/>
        <v>0</v>
      </c>
    </row>
    <row r="50" spans="1:66" x14ac:dyDescent="0.3">
      <c r="A50">
        <v>45</v>
      </c>
      <c r="B50" s="18">
        <f>'A01'!$H48</f>
        <v>0</v>
      </c>
      <c r="C50" s="18">
        <f>'A02'!$H48</f>
        <v>0</v>
      </c>
      <c r="D50" s="18">
        <f>'A03'!$H48</f>
        <v>0</v>
      </c>
      <c r="E50" s="18">
        <f>'A04'!$H48</f>
        <v>0</v>
      </c>
      <c r="F50" s="18">
        <f>'A05'!$H48</f>
        <v>0</v>
      </c>
      <c r="G50" s="18">
        <f>'A06'!$H48</f>
        <v>0</v>
      </c>
      <c r="H50" s="18">
        <f>'A07'!$H48</f>
        <v>0</v>
      </c>
      <c r="I50" s="18">
        <f>'A08'!$H48</f>
        <v>0</v>
      </c>
      <c r="J50" s="18">
        <f>'A09'!$H48</f>
        <v>0</v>
      </c>
      <c r="K50" s="18">
        <f>'B01'!$H48</f>
        <v>0</v>
      </c>
      <c r="L50" s="18">
        <f>'B02'!$H48</f>
        <v>0</v>
      </c>
      <c r="M50" s="18">
        <f>'B03'!$H48</f>
        <v>0</v>
      </c>
      <c r="N50" s="18">
        <f>'B04'!$H48</f>
        <v>0</v>
      </c>
      <c r="O50" s="18">
        <f>'B05'!$H48</f>
        <v>0</v>
      </c>
      <c r="P50" s="18">
        <f>'B06'!$H48</f>
        <v>0</v>
      </c>
      <c r="Q50" s="18">
        <f>'B07'!$H48</f>
        <v>0</v>
      </c>
      <c r="R50" s="18">
        <f>'B08'!$H48</f>
        <v>0</v>
      </c>
      <c r="S50" s="18">
        <f>'B09'!$H48</f>
        <v>0</v>
      </c>
      <c r="T50" s="18">
        <f>'C01'!$H48</f>
        <v>0</v>
      </c>
      <c r="U50" s="18">
        <f>'C02'!$H48</f>
        <v>0</v>
      </c>
      <c r="V50" s="18">
        <f>'C03'!$H48</f>
        <v>0</v>
      </c>
      <c r="W50" s="18">
        <f>'C04'!$H48</f>
        <v>0</v>
      </c>
      <c r="X50" s="18">
        <f>'C05'!$H48</f>
        <v>0</v>
      </c>
      <c r="Y50" s="18">
        <f>'C06'!$H48</f>
        <v>0</v>
      </c>
      <c r="Z50" s="18">
        <f>'C07'!$H48</f>
        <v>0</v>
      </c>
      <c r="AA50" s="18">
        <f>'C08'!$H48</f>
        <v>0</v>
      </c>
      <c r="AB50" s="18">
        <f>'C09'!$H48</f>
        <v>0</v>
      </c>
      <c r="AC50" s="18">
        <f>'D01'!H48</f>
        <v>0</v>
      </c>
      <c r="AD50" s="18">
        <f>'E01'!H48</f>
        <v>0</v>
      </c>
      <c r="AE50" s="18">
        <f>'F01'!H48</f>
        <v>0</v>
      </c>
      <c r="AF50" s="18">
        <f>'G01'!H52</f>
        <v>0</v>
      </c>
      <c r="AH50" s="18">
        <f t="shared" si="23"/>
        <v>0</v>
      </c>
      <c r="AI50" s="18">
        <v>0</v>
      </c>
      <c r="AJ50" s="18">
        <f>SUM(AH50:AI50)</f>
        <v>0</v>
      </c>
      <c r="AK50" s="18">
        <f>AK$3*AH50</f>
        <v>0</v>
      </c>
      <c r="AL50" s="18"/>
      <c r="AM50" s="18">
        <f t="shared" si="17"/>
        <v>0</v>
      </c>
      <c r="AN50" s="8">
        <f t="shared" si="3"/>
        <v>0</v>
      </c>
      <c r="AO50" s="18"/>
      <c r="AP50" s="7">
        <f t="shared" si="25"/>
        <v>323999.99999999994</v>
      </c>
      <c r="AQ50" s="8">
        <f t="shared" si="26"/>
        <v>0</v>
      </c>
      <c r="AR50" s="8">
        <f t="shared" si="9"/>
        <v>0</v>
      </c>
      <c r="AS50" s="23"/>
      <c r="AT50" s="497">
        <f>AT114*AM50/AT$3</f>
        <v>0</v>
      </c>
      <c r="AU50" s="8">
        <f t="shared" si="4"/>
        <v>0</v>
      </c>
      <c r="AV50" s="18"/>
      <c r="AW50" s="23">
        <f t="shared" si="27"/>
        <v>21424500.000000004</v>
      </c>
      <c r="AX50" s="23">
        <f t="shared" si="18"/>
        <v>0</v>
      </c>
      <c r="AY50" s="8">
        <f t="shared" si="11"/>
        <v>0</v>
      </c>
      <c r="AZ50" s="23"/>
      <c r="BA50">
        <f t="shared" si="28"/>
        <v>45</v>
      </c>
      <c r="BB50" s="18">
        <f t="shared" si="24"/>
        <v>0</v>
      </c>
      <c r="BC50">
        <f t="shared" si="13"/>
        <v>0</v>
      </c>
      <c r="BD50">
        <f t="shared" si="6"/>
        <v>0</v>
      </c>
      <c r="BF50">
        <f t="shared" si="14"/>
        <v>45</v>
      </c>
      <c r="BG50" s="18">
        <f t="shared" si="15"/>
        <v>0</v>
      </c>
      <c r="BH50" s="18">
        <f t="shared" si="16"/>
        <v>0</v>
      </c>
      <c r="BJ50">
        <v>45</v>
      </c>
      <c r="BK50" s="8">
        <f t="shared" si="19"/>
        <v>0</v>
      </c>
      <c r="BL50" s="8"/>
      <c r="BM50" s="57">
        <v>45</v>
      </c>
      <c r="BN50" s="8">
        <f t="shared" si="20"/>
        <v>0</v>
      </c>
    </row>
    <row r="51" spans="1:66" x14ac:dyDescent="0.3">
      <c r="A51">
        <v>46</v>
      </c>
      <c r="B51" s="18">
        <f>'A01'!$H49</f>
        <v>0</v>
      </c>
      <c r="C51" s="18">
        <f>'A02'!$H49</f>
        <v>0</v>
      </c>
      <c r="D51" s="18">
        <f>'A03'!$H49</f>
        <v>0</v>
      </c>
      <c r="E51" s="18">
        <f>'A04'!$H49</f>
        <v>0</v>
      </c>
      <c r="F51" s="18">
        <f>'A05'!$H49</f>
        <v>0</v>
      </c>
      <c r="G51" s="18">
        <f>'A06'!$H49</f>
        <v>0</v>
      </c>
      <c r="H51" s="18">
        <f>'A07'!$H49</f>
        <v>0</v>
      </c>
      <c r="I51" s="18">
        <f>'A08'!$H49</f>
        <v>0</v>
      </c>
      <c r="J51" s="18">
        <f>'A09'!$H49</f>
        <v>0</v>
      </c>
      <c r="K51" s="18">
        <f>'B01'!$H49</f>
        <v>0</v>
      </c>
      <c r="L51" s="18">
        <f>'B02'!$H49</f>
        <v>0</v>
      </c>
      <c r="M51" s="18">
        <f>'B03'!$H49</f>
        <v>0</v>
      </c>
      <c r="N51" s="18">
        <f>'B04'!$H49</f>
        <v>0</v>
      </c>
      <c r="O51" s="18">
        <f>'B05'!$H49</f>
        <v>0</v>
      </c>
      <c r="P51" s="18">
        <f>'B06'!$H49</f>
        <v>0</v>
      </c>
      <c r="Q51" s="18">
        <f>'B07'!$H49</f>
        <v>0</v>
      </c>
      <c r="R51" s="18">
        <f>'B08'!$H49</f>
        <v>0</v>
      </c>
      <c r="S51" s="18">
        <f>'B09'!$H49</f>
        <v>0</v>
      </c>
      <c r="T51" s="18">
        <f>'C01'!$H49</f>
        <v>0</v>
      </c>
      <c r="U51" s="18">
        <f>'C02'!$H49</f>
        <v>0</v>
      </c>
      <c r="V51" s="18">
        <f>'C03'!$H49</f>
        <v>0</v>
      </c>
      <c r="W51" s="18">
        <f>'C04'!$H49</f>
        <v>0</v>
      </c>
      <c r="X51" s="18">
        <f>'C05'!$H49</f>
        <v>0</v>
      </c>
      <c r="Y51" s="18">
        <f>'C06'!$H49</f>
        <v>0</v>
      </c>
      <c r="Z51" s="18">
        <f>'C07'!$H49</f>
        <v>0</v>
      </c>
      <c r="AA51" s="18">
        <f>'C08'!$H49</f>
        <v>0</v>
      </c>
      <c r="AB51" s="18">
        <f>'C09'!$H49</f>
        <v>0</v>
      </c>
      <c r="AC51" s="18">
        <f>'D01'!H49</f>
        <v>0</v>
      </c>
      <c r="AD51" s="18">
        <f>'E01'!H49</f>
        <v>0</v>
      </c>
      <c r="AE51" s="18">
        <f>'F01'!H49</f>
        <v>0</v>
      </c>
      <c r="AF51" s="18">
        <f>'G01'!H53</f>
        <v>0</v>
      </c>
      <c r="AG51" s="18"/>
      <c r="AH51" s="18">
        <f t="shared" si="23"/>
        <v>0</v>
      </c>
      <c r="AI51" s="18">
        <v>0</v>
      </c>
      <c r="AJ51" s="18">
        <f t="shared" si="2"/>
        <v>0</v>
      </c>
      <c r="AK51" s="18">
        <f t="shared" si="21"/>
        <v>0</v>
      </c>
      <c r="AL51" s="18"/>
      <c r="AM51" s="18">
        <f t="shared" si="17"/>
        <v>0</v>
      </c>
      <c r="AN51" s="8">
        <f t="shared" si="3"/>
        <v>0</v>
      </c>
      <c r="AO51" s="18"/>
      <c r="AP51" s="7">
        <f t="shared" si="25"/>
        <v>331199.99999999994</v>
      </c>
      <c r="AQ51" s="8">
        <f t="shared" si="26"/>
        <v>0</v>
      </c>
      <c r="AR51" s="8">
        <f t="shared" si="9"/>
        <v>0</v>
      </c>
      <c r="AS51" s="23"/>
      <c r="AT51" s="18">
        <f t="shared" si="22"/>
        <v>0</v>
      </c>
      <c r="AU51" s="8">
        <f t="shared" si="4"/>
        <v>0</v>
      </c>
      <c r="AV51" s="18"/>
      <c r="AW51" s="23">
        <f t="shared" si="27"/>
        <v>21900600.000000004</v>
      </c>
      <c r="AX51" s="23">
        <f t="shared" si="18"/>
        <v>0</v>
      </c>
      <c r="AY51" s="8">
        <f t="shared" si="11"/>
        <v>0</v>
      </c>
      <c r="AZ51" s="23"/>
      <c r="BA51">
        <f t="shared" si="28"/>
        <v>46</v>
      </c>
      <c r="BB51" s="18">
        <f t="shared" si="24"/>
        <v>0</v>
      </c>
      <c r="BC51">
        <f t="shared" si="13"/>
        <v>0</v>
      </c>
      <c r="BD51">
        <f t="shared" si="6"/>
        <v>0</v>
      </c>
      <c r="BF51">
        <f t="shared" si="14"/>
        <v>46</v>
      </c>
      <c r="BG51" s="18">
        <f t="shared" si="15"/>
        <v>0</v>
      </c>
      <c r="BH51" s="18">
        <f t="shared" si="16"/>
        <v>0</v>
      </c>
      <c r="BJ51">
        <v>46</v>
      </c>
      <c r="BK51" s="8">
        <f t="shared" si="19"/>
        <v>0</v>
      </c>
      <c r="BL51" s="8"/>
      <c r="BM51" s="57">
        <v>46</v>
      </c>
      <c r="BN51" s="8">
        <f t="shared" si="20"/>
        <v>0</v>
      </c>
    </row>
    <row r="52" spans="1:66" x14ac:dyDescent="0.3">
      <c r="A52">
        <v>47</v>
      </c>
      <c r="B52" s="18">
        <f>'A01'!$H50</f>
        <v>0</v>
      </c>
      <c r="C52" s="18">
        <f>'A02'!$H50</f>
        <v>0</v>
      </c>
      <c r="D52" s="18">
        <f>'A03'!$H50</f>
        <v>0</v>
      </c>
      <c r="E52" s="18">
        <f>'A04'!$H50</f>
        <v>0</v>
      </c>
      <c r="F52" s="18">
        <f>'A05'!$H50</f>
        <v>0</v>
      </c>
      <c r="G52" s="18">
        <f>'A06'!$H50</f>
        <v>0</v>
      </c>
      <c r="H52" s="18">
        <f>'A07'!$H50</f>
        <v>0</v>
      </c>
      <c r="I52" s="18">
        <f>'A08'!$H50</f>
        <v>0</v>
      </c>
      <c r="J52" s="18">
        <f>'A09'!$H50</f>
        <v>0</v>
      </c>
      <c r="K52" s="18">
        <f>'B01'!$H50</f>
        <v>0</v>
      </c>
      <c r="L52" s="18">
        <f>'B02'!$H50</f>
        <v>0</v>
      </c>
      <c r="M52" s="18">
        <f>'B03'!$H50</f>
        <v>0</v>
      </c>
      <c r="N52" s="18">
        <f>'B04'!$H50</f>
        <v>0</v>
      </c>
      <c r="O52" s="18">
        <f>'B05'!$H50</f>
        <v>0</v>
      </c>
      <c r="P52" s="18">
        <f>'B06'!$H50</f>
        <v>0</v>
      </c>
      <c r="Q52" s="18">
        <f>'B07'!$H50</f>
        <v>0</v>
      </c>
      <c r="R52" s="18">
        <f>'B08'!$H50</f>
        <v>0</v>
      </c>
      <c r="S52" s="18">
        <f>'B09'!$H50</f>
        <v>0</v>
      </c>
      <c r="T52" s="18">
        <f>'C01'!$H50</f>
        <v>0</v>
      </c>
      <c r="U52" s="18">
        <f>'C02'!$H50</f>
        <v>0</v>
      </c>
      <c r="V52" s="18">
        <f>'C03'!$H50</f>
        <v>0</v>
      </c>
      <c r="W52" s="18">
        <f>'C04'!$H50</f>
        <v>0</v>
      </c>
      <c r="X52" s="18">
        <f>'C05'!$H50</f>
        <v>0</v>
      </c>
      <c r="Y52" s="18">
        <f>'C06'!$H50</f>
        <v>0</v>
      </c>
      <c r="Z52" s="18">
        <f>'C07'!$H50</f>
        <v>0</v>
      </c>
      <c r="AA52" s="18">
        <f>'C08'!$H50</f>
        <v>0</v>
      </c>
      <c r="AB52" s="18">
        <f>'C09'!$H50</f>
        <v>0</v>
      </c>
      <c r="AC52" s="18">
        <f>'D01'!H50</f>
        <v>0</v>
      </c>
      <c r="AD52" s="18">
        <f>'E01'!H50</f>
        <v>0</v>
      </c>
      <c r="AE52" s="18">
        <f>'F01'!H50</f>
        <v>0</v>
      </c>
      <c r="AF52" s="18">
        <f>'G01'!H54</f>
        <v>0</v>
      </c>
      <c r="AG52" s="18"/>
      <c r="AH52" s="18">
        <f t="shared" si="23"/>
        <v>0</v>
      </c>
      <c r="AI52" s="18">
        <v>0</v>
      </c>
      <c r="AJ52" s="18">
        <f t="shared" si="2"/>
        <v>0</v>
      </c>
      <c r="AK52" s="18">
        <f t="shared" si="21"/>
        <v>0</v>
      </c>
      <c r="AL52" s="18"/>
      <c r="AM52" s="18">
        <f t="shared" si="17"/>
        <v>0</v>
      </c>
      <c r="AN52" s="8">
        <f t="shared" si="3"/>
        <v>0</v>
      </c>
      <c r="AO52" s="18"/>
      <c r="AP52" s="7">
        <f t="shared" si="25"/>
        <v>338399.99999999994</v>
      </c>
      <c r="AQ52" s="8">
        <f t="shared" si="26"/>
        <v>0</v>
      </c>
      <c r="AR52" s="8">
        <f t="shared" si="9"/>
        <v>0</v>
      </c>
      <c r="AS52" s="23"/>
      <c r="AT52" s="18">
        <f t="shared" si="22"/>
        <v>0</v>
      </c>
      <c r="AU52" s="8">
        <f t="shared" si="4"/>
        <v>0</v>
      </c>
      <c r="AV52" s="18"/>
      <c r="AW52" s="23">
        <f t="shared" si="27"/>
        <v>22376700.000000004</v>
      </c>
      <c r="AX52" s="23">
        <f t="shared" si="18"/>
        <v>0</v>
      </c>
      <c r="AY52" s="8">
        <f t="shared" si="11"/>
        <v>0</v>
      </c>
      <c r="AZ52" s="23"/>
      <c r="BA52">
        <f t="shared" si="28"/>
        <v>47</v>
      </c>
      <c r="BB52" s="18">
        <f t="shared" si="24"/>
        <v>0</v>
      </c>
      <c r="BC52">
        <f t="shared" si="13"/>
        <v>0</v>
      </c>
      <c r="BD52">
        <f t="shared" si="6"/>
        <v>0</v>
      </c>
      <c r="BF52">
        <f t="shared" si="14"/>
        <v>47</v>
      </c>
      <c r="BG52" s="18">
        <f t="shared" si="15"/>
        <v>0</v>
      </c>
      <c r="BH52" s="18">
        <f t="shared" si="16"/>
        <v>0</v>
      </c>
      <c r="BJ52">
        <v>47</v>
      </c>
      <c r="BK52" s="8">
        <f t="shared" si="19"/>
        <v>0</v>
      </c>
      <c r="BL52" s="8"/>
      <c r="BM52" s="57">
        <v>47</v>
      </c>
      <c r="BN52" s="8">
        <f t="shared" si="20"/>
        <v>0</v>
      </c>
    </row>
    <row r="53" spans="1:66" x14ac:dyDescent="0.3">
      <c r="A53">
        <v>48</v>
      </c>
      <c r="B53" s="18">
        <f>'A01'!$H51</f>
        <v>0</v>
      </c>
      <c r="C53" s="18">
        <f>'A02'!$H51</f>
        <v>0</v>
      </c>
      <c r="D53" s="18">
        <f>'A03'!$H51</f>
        <v>0</v>
      </c>
      <c r="E53" s="18">
        <f>'A04'!$H51</f>
        <v>0</v>
      </c>
      <c r="F53" s="18">
        <f>'A05'!$H51</f>
        <v>0</v>
      </c>
      <c r="G53" s="18">
        <f>'A06'!$H51</f>
        <v>0</v>
      </c>
      <c r="H53" s="18">
        <f>'A07'!$H51</f>
        <v>0</v>
      </c>
      <c r="I53" s="18">
        <f>'A08'!$H51</f>
        <v>0</v>
      </c>
      <c r="J53" s="18">
        <f>'A09'!$H51</f>
        <v>0</v>
      </c>
      <c r="K53" s="18">
        <f>'B01'!$H51</f>
        <v>0</v>
      </c>
      <c r="L53" s="18">
        <f>'B02'!$H51</f>
        <v>0</v>
      </c>
      <c r="M53" s="18">
        <f>'B03'!$H51</f>
        <v>0</v>
      </c>
      <c r="N53" s="18">
        <f>'B04'!$H51</f>
        <v>0</v>
      </c>
      <c r="O53" s="18">
        <f>'B05'!$H51</f>
        <v>0</v>
      </c>
      <c r="P53" s="18">
        <f>'B06'!$H51</f>
        <v>0</v>
      </c>
      <c r="Q53" s="18">
        <f>'B07'!$H51</f>
        <v>0</v>
      </c>
      <c r="R53" s="18">
        <f>'B08'!$H51</f>
        <v>0</v>
      </c>
      <c r="S53" s="18">
        <f>'B09'!$H51</f>
        <v>0</v>
      </c>
      <c r="T53" s="18">
        <f>'C01'!$H51</f>
        <v>0</v>
      </c>
      <c r="U53" s="18">
        <f>'C02'!$H51</f>
        <v>0</v>
      </c>
      <c r="V53" s="18">
        <f>'C03'!$H51</f>
        <v>0</v>
      </c>
      <c r="W53" s="18">
        <f>'C04'!$H51</f>
        <v>0</v>
      </c>
      <c r="X53" s="18">
        <f>'C05'!$H51</f>
        <v>0</v>
      </c>
      <c r="Y53" s="18">
        <f>'C06'!$H51</f>
        <v>0</v>
      </c>
      <c r="Z53" s="18">
        <f>'C07'!$H51</f>
        <v>0</v>
      </c>
      <c r="AA53" s="18">
        <f>'C08'!$H51</f>
        <v>0</v>
      </c>
      <c r="AB53" s="18">
        <f>'C09'!$H51</f>
        <v>0</v>
      </c>
      <c r="AC53" s="18">
        <f>'D01'!H51</f>
        <v>0</v>
      </c>
      <c r="AD53" s="18">
        <f>'E01'!H51</f>
        <v>0</v>
      </c>
      <c r="AE53" s="18">
        <f>'F01'!H51</f>
        <v>0</v>
      </c>
      <c r="AF53" s="18">
        <f>'G01'!H55</f>
        <v>0</v>
      </c>
      <c r="AH53" s="18">
        <f t="shared" si="23"/>
        <v>0</v>
      </c>
      <c r="AI53" s="18">
        <v>0</v>
      </c>
      <c r="AJ53" s="18">
        <f>SUM(AH53:AI53)</f>
        <v>0</v>
      </c>
      <c r="AK53" s="18">
        <f>AK$3*AH53</f>
        <v>0</v>
      </c>
      <c r="AL53" s="18"/>
      <c r="AM53" s="18">
        <f t="shared" si="17"/>
        <v>0</v>
      </c>
      <c r="AN53" s="8">
        <f t="shared" si="3"/>
        <v>0</v>
      </c>
      <c r="AO53" s="18"/>
      <c r="AP53" s="7">
        <f t="shared" si="25"/>
        <v>345599.99999999994</v>
      </c>
      <c r="AQ53" s="8">
        <f t="shared" si="26"/>
        <v>0</v>
      </c>
      <c r="AR53" s="8">
        <f t="shared" si="9"/>
        <v>0</v>
      </c>
      <c r="AS53" s="23"/>
      <c r="AT53" s="497">
        <f>AT114*AM53/AT$3</f>
        <v>0</v>
      </c>
      <c r="AU53" s="8">
        <f t="shared" si="4"/>
        <v>0</v>
      </c>
      <c r="AV53" s="18"/>
      <c r="AW53" s="23">
        <f t="shared" si="27"/>
        <v>22852800.000000004</v>
      </c>
      <c r="AX53" s="23">
        <f t="shared" si="18"/>
        <v>0</v>
      </c>
      <c r="AY53" s="8">
        <f t="shared" si="11"/>
        <v>0</v>
      </c>
      <c r="AZ53" s="23"/>
      <c r="BA53">
        <f t="shared" si="28"/>
        <v>48</v>
      </c>
      <c r="BB53" s="18">
        <f t="shared" si="24"/>
        <v>0</v>
      </c>
      <c r="BC53">
        <f t="shared" si="13"/>
        <v>0</v>
      </c>
      <c r="BD53">
        <f t="shared" si="6"/>
        <v>0</v>
      </c>
      <c r="BF53">
        <f t="shared" si="14"/>
        <v>48</v>
      </c>
      <c r="BG53" s="18">
        <f t="shared" si="15"/>
        <v>0</v>
      </c>
      <c r="BH53" s="18">
        <f t="shared" si="16"/>
        <v>0</v>
      </c>
      <c r="BJ53">
        <v>48</v>
      </c>
      <c r="BK53" s="8">
        <f t="shared" si="19"/>
        <v>0</v>
      </c>
      <c r="BL53" s="8"/>
      <c r="BM53" s="57">
        <v>48</v>
      </c>
      <c r="BN53" s="8">
        <f t="shared" si="20"/>
        <v>0</v>
      </c>
    </row>
    <row r="54" spans="1:66" x14ac:dyDescent="0.3">
      <c r="A54">
        <v>49</v>
      </c>
      <c r="B54" s="18">
        <f>'A01'!$H52</f>
        <v>0</v>
      </c>
      <c r="C54" s="18">
        <f>'A02'!$H52</f>
        <v>0</v>
      </c>
      <c r="D54" s="18">
        <f>'A03'!$H52</f>
        <v>0</v>
      </c>
      <c r="E54" s="18">
        <f>'A04'!$H52</f>
        <v>0</v>
      </c>
      <c r="F54" s="18">
        <f>'A05'!$H52</f>
        <v>0</v>
      </c>
      <c r="G54" s="18">
        <f>'A06'!$H52</f>
        <v>0</v>
      </c>
      <c r="H54" s="18">
        <f>'A07'!$H52</f>
        <v>0</v>
      </c>
      <c r="I54" s="18">
        <f>'A08'!$H52</f>
        <v>0</v>
      </c>
      <c r="J54" s="18">
        <f>'A09'!$H52</f>
        <v>0</v>
      </c>
      <c r="K54" s="18">
        <f>'B01'!$H52</f>
        <v>0</v>
      </c>
      <c r="L54" s="18">
        <f>'B02'!$H52</f>
        <v>0</v>
      </c>
      <c r="M54" s="18">
        <f>'B03'!$H52</f>
        <v>0</v>
      </c>
      <c r="N54" s="18">
        <f>'B04'!$H52</f>
        <v>0</v>
      </c>
      <c r="O54" s="18">
        <f>'B05'!$H52</f>
        <v>0</v>
      </c>
      <c r="P54" s="18">
        <f>'B06'!$H52</f>
        <v>0</v>
      </c>
      <c r="Q54" s="18">
        <f>'B07'!$H52</f>
        <v>0</v>
      </c>
      <c r="R54" s="18">
        <f>'B08'!$H52</f>
        <v>0</v>
      </c>
      <c r="S54" s="18">
        <f>'B09'!$H52</f>
        <v>0</v>
      </c>
      <c r="T54" s="18">
        <f>'C01'!$H52</f>
        <v>0</v>
      </c>
      <c r="U54" s="18">
        <f>'C02'!$H52</f>
        <v>0</v>
      </c>
      <c r="V54" s="18">
        <f>'C03'!$H52</f>
        <v>0</v>
      </c>
      <c r="W54" s="18">
        <f>'C04'!$H52</f>
        <v>0</v>
      </c>
      <c r="X54" s="18">
        <f>'C05'!$H52</f>
        <v>0</v>
      </c>
      <c r="Y54" s="18">
        <f>'C06'!$H52</f>
        <v>0</v>
      </c>
      <c r="Z54" s="18">
        <f>'C07'!$H52</f>
        <v>0</v>
      </c>
      <c r="AA54" s="18">
        <f>'C08'!$H52</f>
        <v>0</v>
      </c>
      <c r="AB54" s="18">
        <f>'C09'!$H52</f>
        <v>0</v>
      </c>
      <c r="AC54" s="18">
        <f>'D01'!H52</f>
        <v>0</v>
      </c>
      <c r="AD54" s="18">
        <f>'E01'!H52</f>
        <v>0</v>
      </c>
      <c r="AE54" s="18">
        <f>'F01'!H52</f>
        <v>0</v>
      </c>
      <c r="AF54" s="18">
        <f>'G01'!H56</f>
        <v>0</v>
      </c>
      <c r="AG54" s="18"/>
      <c r="AH54" s="18">
        <f t="shared" si="23"/>
        <v>0</v>
      </c>
      <c r="AI54" s="18">
        <v>0</v>
      </c>
      <c r="AJ54" s="18">
        <f t="shared" si="2"/>
        <v>0</v>
      </c>
      <c r="AK54" s="18">
        <f t="shared" si="21"/>
        <v>0</v>
      </c>
      <c r="AL54" s="18"/>
      <c r="AM54" s="18">
        <f t="shared" si="17"/>
        <v>0</v>
      </c>
      <c r="AN54" s="8">
        <f t="shared" si="3"/>
        <v>0</v>
      </c>
      <c r="AO54" s="18"/>
      <c r="AP54" s="7">
        <f t="shared" si="25"/>
        <v>352799.99999999994</v>
      </c>
      <c r="AQ54" s="8">
        <f t="shared" si="26"/>
        <v>0</v>
      </c>
      <c r="AR54" s="8">
        <f t="shared" si="9"/>
        <v>0</v>
      </c>
      <c r="AS54" s="23"/>
      <c r="AT54" s="18">
        <f t="shared" si="22"/>
        <v>0</v>
      </c>
      <c r="AU54" s="8">
        <f t="shared" si="4"/>
        <v>0</v>
      </c>
      <c r="AV54" s="18"/>
      <c r="AW54" s="23">
        <f t="shared" si="27"/>
        <v>23328900.000000004</v>
      </c>
      <c r="AX54" s="23">
        <f t="shared" si="18"/>
        <v>0</v>
      </c>
      <c r="AY54" s="8">
        <f t="shared" si="11"/>
        <v>0</v>
      </c>
      <c r="AZ54" s="23"/>
      <c r="BA54">
        <f t="shared" si="28"/>
        <v>49</v>
      </c>
      <c r="BB54" s="18">
        <f t="shared" si="24"/>
        <v>0</v>
      </c>
      <c r="BC54">
        <f t="shared" si="13"/>
        <v>0</v>
      </c>
      <c r="BD54">
        <f t="shared" si="6"/>
        <v>0</v>
      </c>
      <c r="BF54">
        <f t="shared" si="14"/>
        <v>49</v>
      </c>
      <c r="BG54" s="18">
        <f t="shared" si="15"/>
        <v>0</v>
      </c>
      <c r="BH54" s="18">
        <f t="shared" si="16"/>
        <v>0</v>
      </c>
      <c r="BJ54">
        <v>49</v>
      </c>
      <c r="BK54" s="8">
        <f t="shared" si="19"/>
        <v>0</v>
      </c>
      <c r="BL54" s="8"/>
      <c r="BM54" s="57">
        <v>49</v>
      </c>
      <c r="BN54" s="8">
        <f t="shared" si="20"/>
        <v>0</v>
      </c>
    </row>
    <row r="55" spans="1:66" x14ac:dyDescent="0.3">
      <c r="A55">
        <v>50</v>
      </c>
      <c r="B55" s="18">
        <f>'A01'!$H53</f>
        <v>0</v>
      </c>
      <c r="C55" s="18">
        <f>'A02'!$H53</f>
        <v>0</v>
      </c>
      <c r="D55" s="18">
        <f>'A03'!$H53</f>
        <v>0</v>
      </c>
      <c r="E55" s="18">
        <f>'A04'!$H53</f>
        <v>0</v>
      </c>
      <c r="F55" s="18">
        <f>'A05'!$H53</f>
        <v>0</v>
      </c>
      <c r="G55" s="18">
        <f>'A06'!$H53</f>
        <v>0</v>
      </c>
      <c r="H55" s="18">
        <f>'A07'!$H53</f>
        <v>0</v>
      </c>
      <c r="I55" s="18">
        <f>'A08'!$H53</f>
        <v>0</v>
      </c>
      <c r="J55" s="18">
        <f>'A09'!$H53</f>
        <v>0</v>
      </c>
      <c r="K55" s="18">
        <f>'B01'!$H53</f>
        <v>0</v>
      </c>
      <c r="L55" s="18">
        <f>'B02'!$H53</f>
        <v>0</v>
      </c>
      <c r="M55" s="18">
        <f>'B03'!$H53</f>
        <v>0</v>
      </c>
      <c r="N55" s="18">
        <f>'B04'!$H53</f>
        <v>0</v>
      </c>
      <c r="O55" s="18">
        <f>'B05'!$H53</f>
        <v>0</v>
      </c>
      <c r="P55" s="18">
        <f>'B06'!$H53</f>
        <v>0</v>
      </c>
      <c r="Q55" s="18">
        <f>'B07'!$H53</f>
        <v>0</v>
      </c>
      <c r="R55" s="18">
        <f>'B08'!$H53</f>
        <v>0</v>
      </c>
      <c r="S55" s="18">
        <f>'B09'!$H53</f>
        <v>0</v>
      </c>
      <c r="T55" s="18">
        <f>'C01'!$H53</f>
        <v>0</v>
      </c>
      <c r="U55" s="18">
        <f>'C02'!$H53</f>
        <v>0</v>
      </c>
      <c r="V55" s="18">
        <f>'C03'!$H53</f>
        <v>0</v>
      </c>
      <c r="W55" s="18">
        <f>'C04'!$H53</f>
        <v>0</v>
      </c>
      <c r="X55" s="18">
        <f>'C05'!$H53</f>
        <v>0</v>
      </c>
      <c r="Y55" s="18">
        <f>'C06'!$H53</f>
        <v>0</v>
      </c>
      <c r="Z55" s="18">
        <f>'C07'!$H53</f>
        <v>0</v>
      </c>
      <c r="AA55" s="18">
        <f>'C08'!$H53</f>
        <v>0</v>
      </c>
      <c r="AB55" s="18">
        <f>'C09'!$H53</f>
        <v>0</v>
      </c>
      <c r="AC55" s="18">
        <f>'D01'!H53</f>
        <v>0</v>
      </c>
      <c r="AD55" s="18">
        <f>'E01'!H53</f>
        <v>0</v>
      </c>
      <c r="AE55" s="18">
        <f>'F01'!H53</f>
        <v>0</v>
      </c>
      <c r="AF55" s="18">
        <f>'G01'!H57</f>
        <v>0</v>
      </c>
      <c r="AG55" s="18"/>
      <c r="AH55" s="18">
        <f t="shared" si="23"/>
        <v>0</v>
      </c>
      <c r="AI55" s="18">
        <v>0</v>
      </c>
      <c r="AJ55" s="18">
        <f t="shared" si="2"/>
        <v>0</v>
      </c>
      <c r="AK55" s="18">
        <f t="shared" si="21"/>
        <v>0</v>
      </c>
      <c r="AL55" s="18"/>
      <c r="AM55" s="18">
        <f t="shared" si="17"/>
        <v>0</v>
      </c>
      <c r="AN55" s="8">
        <f t="shared" si="3"/>
        <v>0</v>
      </c>
      <c r="AO55" s="18"/>
      <c r="AP55" s="7">
        <f t="shared" si="25"/>
        <v>359999.99999999994</v>
      </c>
      <c r="AQ55" s="8">
        <f t="shared" si="26"/>
        <v>0</v>
      </c>
      <c r="AR55" s="8">
        <f t="shared" si="9"/>
        <v>0</v>
      </c>
      <c r="AS55" s="23"/>
      <c r="AT55" s="18">
        <f t="shared" si="22"/>
        <v>0</v>
      </c>
      <c r="AU55" s="8">
        <f t="shared" si="4"/>
        <v>0</v>
      </c>
      <c r="AV55" s="18"/>
      <c r="AW55" s="23">
        <f t="shared" si="27"/>
        <v>23805000.000000004</v>
      </c>
      <c r="AX55" s="23">
        <f t="shared" si="18"/>
        <v>0</v>
      </c>
      <c r="AY55" s="8">
        <f t="shared" si="11"/>
        <v>0</v>
      </c>
      <c r="AZ55" s="23"/>
      <c r="BA55">
        <f t="shared" si="28"/>
        <v>50</v>
      </c>
      <c r="BB55" s="18">
        <f t="shared" si="24"/>
        <v>0</v>
      </c>
      <c r="BC55">
        <f t="shared" si="13"/>
        <v>0</v>
      </c>
      <c r="BD55">
        <f t="shared" si="6"/>
        <v>0</v>
      </c>
      <c r="BF55">
        <f t="shared" si="14"/>
        <v>50</v>
      </c>
      <c r="BG55" s="18">
        <f t="shared" si="15"/>
        <v>0</v>
      </c>
      <c r="BH55" s="18">
        <f t="shared" si="16"/>
        <v>0</v>
      </c>
      <c r="BJ55">
        <v>50</v>
      </c>
      <c r="BK55" s="8">
        <f t="shared" si="19"/>
        <v>0</v>
      </c>
      <c r="BL55" s="8"/>
      <c r="BM55" s="57">
        <v>50</v>
      </c>
      <c r="BN55" s="8">
        <f t="shared" si="20"/>
        <v>0</v>
      </c>
    </row>
    <row r="56" spans="1:66" x14ac:dyDescent="0.3">
      <c r="A56">
        <v>51</v>
      </c>
      <c r="B56" s="18">
        <v>0</v>
      </c>
      <c r="C56" s="18">
        <v>0</v>
      </c>
      <c r="D56" s="18">
        <v>0</v>
      </c>
      <c r="E56" s="18">
        <v>0</v>
      </c>
      <c r="F56" s="18">
        <v>0</v>
      </c>
      <c r="G56" s="18">
        <v>0</v>
      </c>
      <c r="H56" s="18">
        <v>0</v>
      </c>
      <c r="I56" s="18">
        <v>0</v>
      </c>
      <c r="J56" s="18">
        <v>0</v>
      </c>
      <c r="K56" s="18">
        <v>0</v>
      </c>
      <c r="L56" s="18">
        <v>0</v>
      </c>
      <c r="M56" s="18">
        <v>0</v>
      </c>
      <c r="N56" s="18">
        <v>0</v>
      </c>
      <c r="O56" s="18">
        <v>0</v>
      </c>
      <c r="P56" s="18">
        <v>0</v>
      </c>
      <c r="Q56" s="18">
        <v>0</v>
      </c>
      <c r="R56" s="18">
        <v>0</v>
      </c>
      <c r="S56" s="18">
        <v>0</v>
      </c>
      <c r="T56" s="18">
        <v>0</v>
      </c>
      <c r="U56" s="18">
        <v>0</v>
      </c>
      <c r="V56" s="18">
        <v>0</v>
      </c>
      <c r="W56" s="18">
        <v>0</v>
      </c>
      <c r="X56" s="18">
        <v>0</v>
      </c>
      <c r="Y56" s="18">
        <v>0</v>
      </c>
      <c r="Z56" s="18">
        <v>0</v>
      </c>
      <c r="AA56" s="18">
        <v>0</v>
      </c>
      <c r="AB56" s="18">
        <v>0</v>
      </c>
      <c r="AC56" s="18">
        <v>0</v>
      </c>
      <c r="AD56" s="18">
        <v>0</v>
      </c>
      <c r="AE56" s="18">
        <v>0</v>
      </c>
      <c r="AF56" s="18">
        <v>0</v>
      </c>
      <c r="AH56" s="18">
        <f t="shared" si="23"/>
        <v>0</v>
      </c>
      <c r="AI56" s="18">
        <v>0</v>
      </c>
      <c r="AJ56" s="18">
        <f>SUM(AH56:AI56)</f>
        <v>0</v>
      </c>
      <c r="AK56" s="18">
        <v>0</v>
      </c>
      <c r="AL56" s="18"/>
      <c r="AM56" s="18">
        <f t="shared" si="17"/>
        <v>0</v>
      </c>
      <c r="AN56" s="8">
        <f t="shared" si="3"/>
        <v>0</v>
      </c>
      <c r="AO56" s="18"/>
      <c r="AP56" s="7">
        <f t="shared" si="25"/>
        <v>367199.99999999994</v>
      </c>
      <c r="AQ56" s="8">
        <f t="shared" si="26"/>
        <v>0</v>
      </c>
      <c r="AR56" s="8">
        <f t="shared" si="9"/>
        <v>0</v>
      </c>
      <c r="AS56" s="23"/>
      <c r="AT56" s="497">
        <f>AT114*AM56/AT$3</f>
        <v>0</v>
      </c>
      <c r="AU56" s="8">
        <f t="shared" si="4"/>
        <v>0</v>
      </c>
      <c r="AV56" s="18"/>
      <c r="AW56" s="23">
        <f t="shared" si="27"/>
        <v>24281100.000000004</v>
      </c>
      <c r="AX56" s="23">
        <f t="shared" si="18"/>
        <v>0</v>
      </c>
      <c r="AY56" s="8">
        <f t="shared" si="11"/>
        <v>0</v>
      </c>
      <c r="AZ56" s="23"/>
      <c r="BA56">
        <f t="shared" si="28"/>
        <v>51</v>
      </c>
      <c r="BB56" s="18">
        <f t="shared" si="24"/>
        <v>0</v>
      </c>
      <c r="BC56">
        <f t="shared" si="13"/>
        <v>0</v>
      </c>
      <c r="BD56">
        <f t="shared" si="6"/>
        <v>0</v>
      </c>
      <c r="BF56">
        <f t="shared" si="14"/>
        <v>51</v>
      </c>
      <c r="BG56" s="18">
        <f t="shared" si="15"/>
        <v>0</v>
      </c>
      <c r="BH56">
        <f t="shared" si="16"/>
        <v>0</v>
      </c>
    </row>
    <row r="57" spans="1:66" x14ac:dyDescent="0.3">
      <c r="A57">
        <v>52</v>
      </c>
      <c r="B57" s="18">
        <v>0</v>
      </c>
      <c r="C57" s="18">
        <v>0</v>
      </c>
      <c r="D57" s="18">
        <v>0</v>
      </c>
      <c r="E57" s="18">
        <v>0</v>
      </c>
      <c r="F57" s="18">
        <v>0</v>
      </c>
      <c r="G57" s="18">
        <v>0</v>
      </c>
      <c r="H57" s="18">
        <v>0</v>
      </c>
      <c r="I57" s="18">
        <v>0</v>
      </c>
      <c r="J57" s="18">
        <v>0</v>
      </c>
      <c r="K57" s="18">
        <v>0</v>
      </c>
      <c r="L57" s="18">
        <v>0</v>
      </c>
      <c r="M57" s="18">
        <v>0</v>
      </c>
      <c r="N57" s="18">
        <v>0</v>
      </c>
      <c r="O57" s="18">
        <v>0</v>
      </c>
      <c r="P57" s="18">
        <v>0</v>
      </c>
      <c r="Q57" s="18">
        <v>0</v>
      </c>
      <c r="R57" s="18">
        <v>0</v>
      </c>
      <c r="S57" s="18">
        <v>0</v>
      </c>
      <c r="T57" s="18">
        <v>0</v>
      </c>
      <c r="U57" s="18">
        <v>0</v>
      </c>
      <c r="V57" s="18">
        <v>0</v>
      </c>
      <c r="W57" s="18">
        <v>0</v>
      </c>
      <c r="X57" s="18">
        <v>0</v>
      </c>
      <c r="Y57" s="18">
        <v>0</v>
      </c>
      <c r="Z57" s="18">
        <v>0</v>
      </c>
      <c r="AA57" s="18">
        <v>0</v>
      </c>
      <c r="AB57" s="18">
        <v>0</v>
      </c>
      <c r="AC57" s="18">
        <v>0</v>
      </c>
      <c r="AD57" s="18">
        <v>0</v>
      </c>
      <c r="AE57" s="18">
        <v>0</v>
      </c>
      <c r="AF57" s="18">
        <v>0</v>
      </c>
      <c r="AG57" s="18"/>
      <c r="AH57" s="18">
        <f t="shared" si="23"/>
        <v>0</v>
      </c>
      <c r="AI57" s="18">
        <v>0</v>
      </c>
      <c r="AJ57" s="18">
        <f t="shared" si="2"/>
        <v>0</v>
      </c>
      <c r="AK57" s="18">
        <v>0</v>
      </c>
      <c r="AL57" s="18"/>
      <c r="AM57" s="18">
        <f t="shared" si="17"/>
        <v>0</v>
      </c>
      <c r="AN57" s="8">
        <f t="shared" si="3"/>
        <v>0</v>
      </c>
      <c r="AO57" s="18"/>
      <c r="AP57" s="7">
        <f t="shared" si="25"/>
        <v>374399.99999999994</v>
      </c>
      <c r="AQ57" s="8">
        <f t="shared" si="26"/>
        <v>0</v>
      </c>
      <c r="AR57" s="8">
        <f t="shared" si="9"/>
        <v>0</v>
      </c>
      <c r="AS57" s="23"/>
      <c r="AT57" s="18">
        <f>AM57/AT$3</f>
        <v>0</v>
      </c>
      <c r="AU57" s="8">
        <f t="shared" si="4"/>
        <v>0</v>
      </c>
      <c r="AV57" s="18"/>
      <c r="AW57" s="23">
        <f t="shared" si="27"/>
        <v>24757200.000000004</v>
      </c>
      <c r="AX57" s="23">
        <f t="shared" si="18"/>
        <v>0</v>
      </c>
      <c r="AY57" s="8">
        <f t="shared" si="11"/>
        <v>0</v>
      </c>
      <c r="AZ57" s="23"/>
      <c r="BA57">
        <f t="shared" si="28"/>
        <v>52</v>
      </c>
      <c r="BB57" s="18">
        <f t="shared" si="24"/>
        <v>0</v>
      </c>
      <c r="BC57">
        <f t="shared" si="13"/>
        <v>0</v>
      </c>
      <c r="BD57">
        <f t="shared" si="6"/>
        <v>0</v>
      </c>
      <c r="BF57">
        <f t="shared" si="14"/>
        <v>52</v>
      </c>
      <c r="BG57" s="18">
        <f t="shared" si="15"/>
        <v>0</v>
      </c>
      <c r="BH57">
        <f t="shared" si="16"/>
        <v>0</v>
      </c>
    </row>
    <row r="58" spans="1:66" x14ac:dyDescent="0.3">
      <c r="A58">
        <v>53</v>
      </c>
      <c r="B58" s="18">
        <v>0</v>
      </c>
      <c r="C58" s="18">
        <v>0</v>
      </c>
      <c r="D58" s="18">
        <v>0</v>
      </c>
      <c r="E58" s="18">
        <v>0</v>
      </c>
      <c r="F58" s="18">
        <v>0</v>
      </c>
      <c r="G58" s="18">
        <v>0</v>
      </c>
      <c r="H58" s="18">
        <v>0</v>
      </c>
      <c r="I58" s="18">
        <v>0</v>
      </c>
      <c r="J58" s="18">
        <v>0</v>
      </c>
      <c r="K58" s="18">
        <v>0</v>
      </c>
      <c r="L58" s="18">
        <v>0</v>
      </c>
      <c r="M58" s="18">
        <v>0</v>
      </c>
      <c r="N58" s="18">
        <v>0</v>
      </c>
      <c r="O58" s="18">
        <v>0</v>
      </c>
      <c r="P58" s="18">
        <v>0</v>
      </c>
      <c r="Q58" s="18">
        <v>0</v>
      </c>
      <c r="R58" s="18">
        <v>0</v>
      </c>
      <c r="S58" s="18">
        <v>0</v>
      </c>
      <c r="T58" s="18">
        <v>0</v>
      </c>
      <c r="U58" s="18">
        <v>0</v>
      </c>
      <c r="V58" s="18">
        <v>0</v>
      </c>
      <c r="W58" s="18">
        <v>0</v>
      </c>
      <c r="X58" s="18">
        <v>0</v>
      </c>
      <c r="Y58" s="18">
        <v>0</v>
      </c>
      <c r="Z58" s="18">
        <v>0</v>
      </c>
      <c r="AA58" s="18">
        <v>0</v>
      </c>
      <c r="AB58" s="18">
        <v>0</v>
      </c>
      <c r="AC58" s="18">
        <v>0</v>
      </c>
      <c r="AD58" s="18">
        <v>0</v>
      </c>
      <c r="AE58" s="18">
        <v>0</v>
      </c>
      <c r="AF58" s="18">
        <v>0</v>
      </c>
      <c r="AG58" s="18"/>
      <c r="AH58" s="18">
        <f t="shared" si="23"/>
        <v>0</v>
      </c>
      <c r="AI58" s="18">
        <v>0</v>
      </c>
      <c r="AJ58" s="18">
        <f t="shared" si="2"/>
        <v>0</v>
      </c>
      <c r="AK58" s="18">
        <v>0</v>
      </c>
      <c r="AL58" s="18"/>
      <c r="AM58" s="18">
        <f t="shared" si="17"/>
        <v>0</v>
      </c>
      <c r="AN58" s="8">
        <f t="shared" si="3"/>
        <v>0</v>
      </c>
      <c r="AO58" s="18"/>
      <c r="AP58" s="7">
        <f t="shared" si="25"/>
        <v>381599.99999999994</v>
      </c>
      <c r="AQ58" s="8">
        <f t="shared" si="26"/>
        <v>0</v>
      </c>
      <c r="AR58" s="8">
        <f t="shared" si="9"/>
        <v>0</v>
      </c>
      <c r="AS58" s="23"/>
      <c r="AT58" s="18">
        <f>AM58/AT$3</f>
        <v>0</v>
      </c>
      <c r="AU58" s="8">
        <f t="shared" si="4"/>
        <v>0</v>
      </c>
      <c r="AV58" s="18"/>
      <c r="AW58" s="23">
        <f t="shared" si="27"/>
        <v>25233300.000000004</v>
      </c>
      <c r="AX58" s="23">
        <f t="shared" si="18"/>
        <v>0</v>
      </c>
      <c r="AY58" s="8">
        <f t="shared" si="11"/>
        <v>0</v>
      </c>
      <c r="AZ58" s="23"/>
      <c r="BA58">
        <f t="shared" si="28"/>
        <v>53</v>
      </c>
      <c r="BB58" s="18">
        <f t="shared" si="24"/>
        <v>0</v>
      </c>
      <c r="BC58">
        <f t="shared" si="13"/>
        <v>0</v>
      </c>
      <c r="BD58">
        <f t="shared" si="6"/>
        <v>0</v>
      </c>
      <c r="BF58">
        <f t="shared" si="14"/>
        <v>53</v>
      </c>
      <c r="BG58" s="18">
        <f t="shared" si="15"/>
        <v>0</v>
      </c>
      <c r="BH58">
        <f t="shared" si="16"/>
        <v>0</v>
      </c>
      <c r="BJ58" s="22" t="s">
        <v>208</v>
      </c>
      <c r="BK58" s="18">
        <f>IF(BK$2="XFMR Pri",AU110,AN110)</f>
        <v>0</v>
      </c>
      <c r="BM58" s="22" t="s">
        <v>209</v>
      </c>
      <c r="BN58" s="18">
        <f>IF(BN$2="XFMR Pri",AY110,AR110)</f>
        <v>0</v>
      </c>
    </row>
    <row r="59" spans="1:66" x14ac:dyDescent="0.3">
      <c r="A59">
        <v>54</v>
      </c>
      <c r="B59" s="18">
        <v>0</v>
      </c>
      <c r="C59" s="18">
        <v>0</v>
      </c>
      <c r="D59" s="18">
        <v>0</v>
      </c>
      <c r="E59" s="18">
        <v>0</v>
      </c>
      <c r="F59" s="18">
        <v>0</v>
      </c>
      <c r="G59" s="18">
        <v>0</v>
      </c>
      <c r="H59" s="18">
        <v>0</v>
      </c>
      <c r="I59" s="18">
        <v>0</v>
      </c>
      <c r="J59" s="18">
        <v>0</v>
      </c>
      <c r="K59" s="18">
        <v>0</v>
      </c>
      <c r="L59" s="18">
        <v>0</v>
      </c>
      <c r="M59" s="18">
        <v>0</v>
      </c>
      <c r="N59" s="18">
        <v>0</v>
      </c>
      <c r="O59" s="18">
        <v>0</v>
      </c>
      <c r="P59" s="18">
        <v>0</v>
      </c>
      <c r="Q59" s="18">
        <v>0</v>
      </c>
      <c r="R59" s="18">
        <v>0</v>
      </c>
      <c r="S59" s="18">
        <v>0</v>
      </c>
      <c r="T59" s="18">
        <v>0</v>
      </c>
      <c r="U59" s="18">
        <v>0</v>
      </c>
      <c r="V59" s="18">
        <v>0</v>
      </c>
      <c r="W59" s="18">
        <v>0</v>
      </c>
      <c r="X59" s="18">
        <v>0</v>
      </c>
      <c r="Y59" s="18">
        <v>0</v>
      </c>
      <c r="Z59" s="18">
        <v>0</v>
      </c>
      <c r="AA59" s="18">
        <v>0</v>
      </c>
      <c r="AB59" s="18">
        <v>0</v>
      </c>
      <c r="AC59" s="18">
        <v>0</v>
      </c>
      <c r="AD59" s="18">
        <v>0</v>
      </c>
      <c r="AE59" s="18">
        <v>0</v>
      </c>
      <c r="AF59" s="18">
        <v>0</v>
      </c>
      <c r="AH59" s="18">
        <f t="shared" si="23"/>
        <v>0</v>
      </c>
      <c r="AI59" s="18">
        <v>0</v>
      </c>
      <c r="AJ59" s="18">
        <f>SUM(AH59:AI59)</f>
        <v>0</v>
      </c>
      <c r="AK59" s="18">
        <v>0</v>
      </c>
      <c r="AL59" s="18"/>
      <c r="AM59" s="18">
        <f t="shared" si="17"/>
        <v>0</v>
      </c>
      <c r="AN59" s="8">
        <f t="shared" si="3"/>
        <v>0</v>
      </c>
      <c r="AO59" s="18"/>
      <c r="AP59" s="7">
        <f t="shared" si="25"/>
        <v>388799.99999999994</v>
      </c>
      <c r="AQ59" s="8">
        <f t="shared" si="26"/>
        <v>0</v>
      </c>
      <c r="AR59" s="8">
        <f t="shared" si="9"/>
        <v>0</v>
      </c>
      <c r="AS59" s="23"/>
      <c r="AT59" s="497">
        <f>AT114*AM59/AT$3</f>
        <v>0</v>
      </c>
      <c r="AU59" s="8">
        <f t="shared" si="4"/>
        <v>0</v>
      </c>
      <c r="AV59" s="18"/>
      <c r="AW59" s="23">
        <f t="shared" si="27"/>
        <v>25709400.000000004</v>
      </c>
      <c r="AX59" s="23">
        <f t="shared" si="18"/>
        <v>0</v>
      </c>
      <c r="AY59" s="8">
        <f t="shared" si="11"/>
        <v>0</v>
      </c>
      <c r="AZ59" s="23"/>
      <c r="BA59">
        <f t="shared" si="28"/>
        <v>54</v>
      </c>
      <c r="BB59" s="18">
        <f t="shared" si="24"/>
        <v>0</v>
      </c>
      <c r="BC59">
        <f t="shared" si="13"/>
        <v>0</v>
      </c>
      <c r="BD59">
        <f t="shared" si="6"/>
        <v>0</v>
      </c>
      <c r="BF59">
        <f t="shared" si="14"/>
        <v>54</v>
      </c>
      <c r="BG59" s="18">
        <f t="shared" si="15"/>
        <v>0</v>
      </c>
      <c r="BH59">
        <f t="shared" si="16"/>
        <v>0</v>
      </c>
    </row>
    <row r="60" spans="1:66" x14ac:dyDescent="0.3">
      <c r="A60">
        <v>55</v>
      </c>
      <c r="B60" s="18">
        <v>0</v>
      </c>
      <c r="C60" s="18">
        <v>0</v>
      </c>
      <c r="D60" s="18">
        <v>0</v>
      </c>
      <c r="E60" s="18">
        <v>0</v>
      </c>
      <c r="F60" s="18">
        <v>0</v>
      </c>
      <c r="G60" s="18">
        <v>0</v>
      </c>
      <c r="H60" s="18">
        <v>0</v>
      </c>
      <c r="I60" s="18">
        <v>0</v>
      </c>
      <c r="J60" s="18">
        <v>0</v>
      </c>
      <c r="K60" s="18">
        <v>0</v>
      </c>
      <c r="L60" s="18">
        <v>0</v>
      </c>
      <c r="M60" s="18">
        <v>0</v>
      </c>
      <c r="N60" s="18">
        <v>0</v>
      </c>
      <c r="O60" s="18">
        <v>0</v>
      </c>
      <c r="P60" s="18">
        <v>0</v>
      </c>
      <c r="Q60" s="18">
        <v>0</v>
      </c>
      <c r="R60" s="18">
        <v>0</v>
      </c>
      <c r="S60" s="18">
        <v>0</v>
      </c>
      <c r="T60" s="18">
        <v>0</v>
      </c>
      <c r="U60" s="18">
        <v>0</v>
      </c>
      <c r="V60" s="18">
        <v>0</v>
      </c>
      <c r="W60" s="18">
        <v>0</v>
      </c>
      <c r="X60" s="18">
        <v>0</v>
      </c>
      <c r="Y60" s="18">
        <v>0</v>
      </c>
      <c r="Z60" s="18">
        <v>0</v>
      </c>
      <c r="AA60" s="18">
        <v>0</v>
      </c>
      <c r="AB60" s="18">
        <v>0</v>
      </c>
      <c r="AC60" s="18">
        <v>0</v>
      </c>
      <c r="AD60" s="18">
        <v>0</v>
      </c>
      <c r="AE60" s="18">
        <v>0</v>
      </c>
      <c r="AF60" s="18">
        <v>0</v>
      </c>
      <c r="AG60" s="18"/>
      <c r="AH60" s="18">
        <f t="shared" si="23"/>
        <v>0</v>
      </c>
      <c r="AI60" s="18">
        <v>0</v>
      </c>
      <c r="AJ60" s="18">
        <f t="shared" si="2"/>
        <v>0</v>
      </c>
      <c r="AK60" s="18">
        <v>0</v>
      </c>
      <c r="AL60" s="18"/>
      <c r="AM60" s="18">
        <f t="shared" si="17"/>
        <v>0</v>
      </c>
      <c r="AN60" s="8">
        <f t="shared" si="3"/>
        <v>0</v>
      </c>
      <c r="AO60" s="18"/>
      <c r="AP60" s="7">
        <f t="shared" si="25"/>
        <v>395999.99999999994</v>
      </c>
      <c r="AQ60" s="8">
        <f t="shared" si="26"/>
        <v>0</v>
      </c>
      <c r="AR60" s="8">
        <f t="shared" si="9"/>
        <v>0</v>
      </c>
      <c r="AS60" s="23"/>
      <c r="AT60" s="18">
        <f t="shared" ref="AT60:AT105" si="29">AM60/AT$3</f>
        <v>0</v>
      </c>
      <c r="AU60" s="8">
        <f t="shared" si="4"/>
        <v>0</v>
      </c>
      <c r="AV60" s="18"/>
      <c r="AW60" s="23">
        <f t="shared" si="27"/>
        <v>26185500.000000004</v>
      </c>
      <c r="AX60" s="23">
        <f t="shared" si="18"/>
        <v>0</v>
      </c>
      <c r="AY60" s="8">
        <f t="shared" si="11"/>
        <v>0</v>
      </c>
      <c r="AZ60" s="23"/>
      <c r="BA60">
        <f t="shared" si="28"/>
        <v>55</v>
      </c>
      <c r="BB60" s="18">
        <f t="shared" si="24"/>
        <v>0</v>
      </c>
      <c r="BC60">
        <f t="shared" si="13"/>
        <v>0</v>
      </c>
      <c r="BD60">
        <f t="shared" si="6"/>
        <v>0</v>
      </c>
      <c r="BF60">
        <f t="shared" si="14"/>
        <v>55</v>
      </c>
      <c r="BG60" s="18">
        <f t="shared" si="15"/>
        <v>0</v>
      </c>
      <c r="BH60">
        <f t="shared" si="16"/>
        <v>0</v>
      </c>
    </row>
    <row r="61" spans="1:66" x14ac:dyDescent="0.3">
      <c r="A61">
        <v>56</v>
      </c>
      <c r="B61" s="18">
        <v>0</v>
      </c>
      <c r="C61" s="18">
        <v>0</v>
      </c>
      <c r="D61" s="18">
        <v>0</v>
      </c>
      <c r="E61" s="18">
        <v>0</v>
      </c>
      <c r="F61" s="18">
        <v>0</v>
      </c>
      <c r="G61" s="18">
        <v>0</v>
      </c>
      <c r="H61" s="18">
        <v>0</v>
      </c>
      <c r="I61" s="18">
        <v>0</v>
      </c>
      <c r="J61" s="18">
        <v>0</v>
      </c>
      <c r="K61" s="18">
        <v>0</v>
      </c>
      <c r="L61" s="18">
        <v>0</v>
      </c>
      <c r="M61" s="18">
        <v>0</v>
      </c>
      <c r="N61" s="18">
        <v>0</v>
      </c>
      <c r="O61" s="18">
        <v>0</v>
      </c>
      <c r="P61" s="18">
        <v>0</v>
      </c>
      <c r="Q61" s="18">
        <v>0</v>
      </c>
      <c r="R61" s="18">
        <v>0</v>
      </c>
      <c r="S61" s="18">
        <v>0</v>
      </c>
      <c r="T61" s="18">
        <v>0</v>
      </c>
      <c r="U61" s="18">
        <v>0</v>
      </c>
      <c r="V61" s="18">
        <v>0</v>
      </c>
      <c r="W61" s="18">
        <v>0</v>
      </c>
      <c r="X61" s="18">
        <v>0</v>
      </c>
      <c r="Y61" s="18">
        <v>0</v>
      </c>
      <c r="Z61" s="18">
        <v>0</v>
      </c>
      <c r="AA61" s="18">
        <v>0</v>
      </c>
      <c r="AB61" s="18">
        <v>0</v>
      </c>
      <c r="AC61" s="18">
        <v>0</v>
      </c>
      <c r="AD61" s="18">
        <v>0</v>
      </c>
      <c r="AE61" s="18">
        <v>0</v>
      </c>
      <c r="AF61" s="18">
        <v>0</v>
      </c>
      <c r="AG61" s="18"/>
      <c r="AH61" s="18">
        <f t="shared" si="23"/>
        <v>0</v>
      </c>
      <c r="AI61" s="18">
        <v>0</v>
      </c>
      <c r="AJ61" s="18">
        <f t="shared" si="2"/>
        <v>0</v>
      </c>
      <c r="AK61" s="18">
        <v>0</v>
      </c>
      <c r="AL61" s="18"/>
      <c r="AM61" s="18">
        <f t="shared" si="17"/>
        <v>0</v>
      </c>
      <c r="AN61" s="8">
        <f t="shared" si="3"/>
        <v>0</v>
      </c>
      <c r="AO61" s="18"/>
      <c r="AP61" s="7">
        <f t="shared" si="25"/>
        <v>403199.99999999994</v>
      </c>
      <c r="AQ61" s="8">
        <f t="shared" si="26"/>
        <v>0</v>
      </c>
      <c r="AR61" s="8">
        <f t="shared" si="9"/>
        <v>0</v>
      </c>
      <c r="AS61" s="23"/>
      <c r="AT61" s="18">
        <f t="shared" si="29"/>
        <v>0</v>
      </c>
      <c r="AU61" s="8">
        <f t="shared" si="4"/>
        <v>0</v>
      </c>
      <c r="AV61" s="18"/>
      <c r="AW61" s="23">
        <f t="shared" si="27"/>
        <v>26661600.000000004</v>
      </c>
      <c r="AX61" s="23">
        <f t="shared" si="18"/>
        <v>0</v>
      </c>
      <c r="AY61" s="8">
        <f t="shared" si="11"/>
        <v>0</v>
      </c>
      <c r="AZ61" s="23"/>
      <c r="BA61">
        <f t="shared" si="28"/>
        <v>56</v>
      </c>
      <c r="BB61" s="18">
        <f t="shared" si="24"/>
        <v>0</v>
      </c>
      <c r="BC61">
        <f t="shared" si="13"/>
        <v>0</v>
      </c>
      <c r="BD61">
        <f t="shared" si="6"/>
        <v>0</v>
      </c>
      <c r="BF61">
        <f t="shared" si="14"/>
        <v>56</v>
      </c>
      <c r="BG61" s="18">
        <f t="shared" si="15"/>
        <v>0</v>
      </c>
      <c r="BH61">
        <f t="shared" si="16"/>
        <v>0</v>
      </c>
    </row>
    <row r="62" spans="1:66" x14ac:dyDescent="0.3">
      <c r="A62">
        <v>57</v>
      </c>
      <c r="B62" s="18">
        <v>0</v>
      </c>
      <c r="C62" s="18">
        <v>0</v>
      </c>
      <c r="D62" s="18">
        <v>0</v>
      </c>
      <c r="E62" s="18">
        <v>0</v>
      </c>
      <c r="F62" s="18">
        <v>0</v>
      </c>
      <c r="G62" s="18">
        <v>0</v>
      </c>
      <c r="H62" s="18">
        <v>0</v>
      </c>
      <c r="I62" s="18">
        <v>0</v>
      </c>
      <c r="J62" s="18">
        <v>0</v>
      </c>
      <c r="K62" s="18">
        <v>0</v>
      </c>
      <c r="L62" s="18">
        <v>0</v>
      </c>
      <c r="M62" s="18">
        <v>0</v>
      </c>
      <c r="N62" s="18">
        <v>0</v>
      </c>
      <c r="O62" s="18">
        <v>0</v>
      </c>
      <c r="P62" s="18">
        <v>0</v>
      </c>
      <c r="Q62" s="18">
        <v>0</v>
      </c>
      <c r="R62" s="18">
        <v>0</v>
      </c>
      <c r="S62" s="18">
        <v>0</v>
      </c>
      <c r="T62" s="18">
        <v>0</v>
      </c>
      <c r="U62" s="18">
        <v>0</v>
      </c>
      <c r="V62" s="18">
        <v>0</v>
      </c>
      <c r="W62" s="18">
        <v>0</v>
      </c>
      <c r="X62" s="18">
        <v>0</v>
      </c>
      <c r="Y62" s="18">
        <v>0</v>
      </c>
      <c r="Z62" s="18">
        <v>0</v>
      </c>
      <c r="AA62" s="18">
        <v>0</v>
      </c>
      <c r="AB62" s="18">
        <v>0</v>
      </c>
      <c r="AC62" s="18">
        <v>0</v>
      </c>
      <c r="AD62" s="18">
        <v>0</v>
      </c>
      <c r="AE62" s="18">
        <v>0</v>
      </c>
      <c r="AF62" s="18">
        <v>0</v>
      </c>
      <c r="AH62" s="18">
        <f t="shared" si="23"/>
        <v>0</v>
      </c>
      <c r="AI62" s="18">
        <v>0</v>
      </c>
      <c r="AJ62" s="18">
        <f>SUM(AH62:AI62)</f>
        <v>0</v>
      </c>
      <c r="AK62" s="18">
        <v>0</v>
      </c>
      <c r="AL62" s="18"/>
      <c r="AM62" s="18">
        <f t="shared" si="17"/>
        <v>0</v>
      </c>
      <c r="AN62" s="8">
        <f t="shared" si="3"/>
        <v>0</v>
      </c>
      <c r="AO62" s="18"/>
      <c r="AP62" s="7">
        <f t="shared" si="25"/>
        <v>410399.99999999994</v>
      </c>
      <c r="AQ62" s="8">
        <f t="shared" si="26"/>
        <v>0</v>
      </c>
      <c r="AR62" s="8">
        <f t="shared" si="9"/>
        <v>0</v>
      </c>
      <c r="AS62" s="23"/>
      <c r="AT62" s="497">
        <f>AT114*AM62/AT$3</f>
        <v>0</v>
      </c>
      <c r="AU62" s="8">
        <f t="shared" si="4"/>
        <v>0</v>
      </c>
      <c r="AV62" s="18"/>
      <c r="AW62" s="23">
        <f t="shared" si="27"/>
        <v>27137700.000000004</v>
      </c>
      <c r="AX62" s="23">
        <f t="shared" si="18"/>
        <v>0</v>
      </c>
      <c r="AY62" s="8">
        <f t="shared" si="11"/>
        <v>0</v>
      </c>
      <c r="AZ62" s="23"/>
      <c r="BA62">
        <f t="shared" si="28"/>
        <v>57</v>
      </c>
      <c r="BB62" s="18">
        <f t="shared" si="24"/>
        <v>0</v>
      </c>
      <c r="BC62">
        <f t="shared" si="13"/>
        <v>0</v>
      </c>
      <c r="BD62">
        <f t="shared" si="6"/>
        <v>0</v>
      </c>
      <c r="BF62">
        <f t="shared" si="14"/>
        <v>57</v>
      </c>
      <c r="BG62" s="18">
        <f t="shared" si="15"/>
        <v>0</v>
      </c>
      <c r="BH62">
        <f t="shared" si="16"/>
        <v>0</v>
      </c>
    </row>
    <row r="63" spans="1:66" x14ac:dyDescent="0.3">
      <c r="A63">
        <v>58</v>
      </c>
      <c r="B63" s="18">
        <v>0</v>
      </c>
      <c r="C63" s="18">
        <v>0</v>
      </c>
      <c r="D63" s="18">
        <v>0</v>
      </c>
      <c r="E63" s="18">
        <v>0</v>
      </c>
      <c r="F63" s="18">
        <v>0</v>
      </c>
      <c r="G63" s="18">
        <v>0</v>
      </c>
      <c r="H63" s="18">
        <v>0</v>
      </c>
      <c r="I63" s="18">
        <v>0</v>
      </c>
      <c r="J63" s="18">
        <v>0</v>
      </c>
      <c r="K63" s="18">
        <v>0</v>
      </c>
      <c r="L63" s="18">
        <v>0</v>
      </c>
      <c r="M63" s="18">
        <v>0</v>
      </c>
      <c r="N63" s="18">
        <v>0</v>
      </c>
      <c r="O63" s="18">
        <v>0</v>
      </c>
      <c r="P63" s="18">
        <v>0</v>
      </c>
      <c r="Q63" s="18">
        <v>0</v>
      </c>
      <c r="R63" s="18">
        <v>0</v>
      </c>
      <c r="S63" s="18">
        <v>0</v>
      </c>
      <c r="T63" s="18">
        <v>0</v>
      </c>
      <c r="U63" s="18">
        <v>0</v>
      </c>
      <c r="V63" s="18">
        <v>0</v>
      </c>
      <c r="W63" s="18">
        <v>0</v>
      </c>
      <c r="X63" s="18">
        <v>0</v>
      </c>
      <c r="Y63" s="18">
        <v>0</v>
      </c>
      <c r="Z63" s="18">
        <v>0</v>
      </c>
      <c r="AA63" s="18">
        <v>0</v>
      </c>
      <c r="AB63" s="18">
        <v>0</v>
      </c>
      <c r="AC63" s="18">
        <v>0</v>
      </c>
      <c r="AD63" s="18">
        <v>0</v>
      </c>
      <c r="AE63" s="18">
        <v>0</v>
      </c>
      <c r="AF63" s="18">
        <v>0</v>
      </c>
      <c r="AG63" s="18"/>
      <c r="AH63" s="18">
        <f t="shared" si="23"/>
        <v>0</v>
      </c>
      <c r="AI63" s="18">
        <v>0</v>
      </c>
      <c r="AJ63" s="18">
        <f t="shared" si="2"/>
        <v>0</v>
      </c>
      <c r="AK63" s="18">
        <v>0</v>
      </c>
      <c r="AL63" s="18"/>
      <c r="AM63" s="18">
        <f t="shared" si="17"/>
        <v>0</v>
      </c>
      <c r="AN63" s="8">
        <f t="shared" si="3"/>
        <v>0</v>
      </c>
      <c r="AO63" s="18"/>
      <c r="AP63" s="7">
        <f t="shared" si="25"/>
        <v>417599.99999999994</v>
      </c>
      <c r="AQ63" s="8">
        <f t="shared" si="26"/>
        <v>0</v>
      </c>
      <c r="AR63" s="8">
        <f t="shared" si="9"/>
        <v>0</v>
      </c>
      <c r="AS63" s="23"/>
      <c r="AT63" s="18">
        <f t="shared" si="29"/>
        <v>0</v>
      </c>
      <c r="AU63" s="8">
        <f t="shared" si="4"/>
        <v>0</v>
      </c>
      <c r="AV63" s="18"/>
      <c r="AW63" s="23">
        <f t="shared" si="27"/>
        <v>27613800.000000004</v>
      </c>
      <c r="AX63" s="23">
        <f t="shared" si="18"/>
        <v>0</v>
      </c>
      <c r="AY63" s="8">
        <f t="shared" si="11"/>
        <v>0</v>
      </c>
      <c r="AZ63" s="23"/>
      <c r="BA63">
        <f t="shared" si="28"/>
        <v>58</v>
      </c>
      <c r="BB63" s="18">
        <f t="shared" si="24"/>
        <v>0</v>
      </c>
      <c r="BC63">
        <f t="shared" si="13"/>
        <v>0</v>
      </c>
      <c r="BD63">
        <f t="shared" si="6"/>
        <v>0</v>
      </c>
      <c r="BF63">
        <f t="shared" si="14"/>
        <v>58</v>
      </c>
      <c r="BG63" s="18">
        <f t="shared" si="15"/>
        <v>0</v>
      </c>
      <c r="BH63">
        <f t="shared" si="16"/>
        <v>0</v>
      </c>
    </row>
    <row r="64" spans="1:66" x14ac:dyDescent="0.3">
      <c r="A64">
        <v>59</v>
      </c>
      <c r="B64" s="18">
        <v>0</v>
      </c>
      <c r="C64" s="18">
        <v>0</v>
      </c>
      <c r="D64" s="18">
        <v>0</v>
      </c>
      <c r="E64" s="18">
        <v>0</v>
      </c>
      <c r="F64" s="18">
        <v>0</v>
      </c>
      <c r="G64" s="18">
        <v>0</v>
      </c>
      <c r="H64" s="18">
        <v>0</v>
      </c>
      <c r="I64" s="18">
        <v>0</v>
      </c>
      <c r="J64" s="18">
        <v>0</v>
      </c>
      <c r="K64" s="18">
        <v>0</v>
      </c>
      <c r="L64" s="18">
        <v>0</v>
      </c>
      <c r="M64" s="18">
        <v>0</v>
      </c>
      <c r="N64" s="18">
        <v>0</v>
      </c>
      <c r="O64" s="18">
        <v>0</v>
      </c>
      <c r="P64" s="18">
        <v>0</v>
      </c>
      <c r="Q64" s="18">
        <v>0</v>
      </c>
      <c r="R64" s="18">
        <v>0</v>
      </c>
      <c r="S64" s="18">
        <v>0</v>
      </c>
      <c r="T64" s="18">
        <v>0</v>
      </c>
      <c r="U64" s="18">
        <v>0</v>
      </c>
      <c r="V64" s="18">
        <v>0</v>
      </c>
      <c r="W64" s="18">
        <v>0</v>
      </c>
      <c r="X64" s="18">
        <v>0</v>
      </c>
      <c r="Y64" s="18">
        <v>0</v>
      </c>
      <c r="Z64" s="18">
        <v>0</v>
      </c>
      <c r="AA64" s="18">
        <v>0</v>
      </c>
      <c r="AB64" s="18">
        <v>0</v>
      </c>
      <c r="AC64" s="18">
        <v>0</v>
      </c>
      <c r="AD64" s="18">
        <v>0</v>
      </c>
      <c r="AE64" s="18">
        <v>0</v>
      </c>
      <c r="AF64" s="18">
        <v>0</v>
      </c>
      <c r="AG64" s="18"/>
      <c r="AH64" s="18">
        <f t="shared" si="23"/>
        <v>0</v>
      </c>
      <c r="AI64" s="18">
        <v>0</v>
      </c>
      <c r="AJ64" s="18">
        <f t="shared" si="2"/>
        <v>0</v>
      </c>
      <c r="AK64" s="18">
        <v>0</v>
      </c>
      <c r="AL64" s="18"/>
      <c r="AM64" s="18">
        <f t="shared" si="17"/>
        <v>0</v>
      </c>
      <c r="AN64" s="8">
        <f t="shared" si="3"/>
        <v>0</v>
      </c>
      <c r="AO64" s="18"/>
      <c r="AP64" s="7">
        <f t="shared" si="25"/>
        <v>424799.99999999994</v>
      </c>
      <c r="AQ64" s="8">
        <f t="shared" si="26"/>
        <v>0</v>
      </c>
      <c r="AR64" s="8">
        <f t="shared" si="9"/>
        <v>0</v>
      </c>
      <c r="AS64" s="23"/>
      <c r="AT64" s="18">
        <f t="shared" si="29"/>
        <v>0</v>
      </c>
      <c r="AU64" s="8">
        <f t="shared" si="4"/>
        <v>0</v>
      </c>
      <c r="AV64" s="18"/>
      <c r="AW64" s="23">
        <f t="shared" si="27"/>
        <v>28089900.000000004</v>
      </c>
      <c r="AX64" s="23">
        <f t="shared" si="18"/>
        <v>0</v>
      </c>
      <c r="AY64" s="8">
        <f t="shared" si="11"/>
        <v>0</v>
      </c>
      <c r="AZ64" s="23"/>
      <c r="BA64">
        <f t="shared" si="28"/>
        <v>59</v>
      </c>
      <c r="BB64" s="18">
        <f t="shared" si="24"/>
        <v>0</v>
      </c>
      <c r="BC64">
        <f t="shared" si="13"/>
        <v>0</v>
      </c>
      <c r="BD64">
        <f t="shared" si="6"/>
        <v>0</v>
      </c>
      <c r="BF64">
        <f t="shared" si="14"/>
        <v>59</v>
      </c>
      <c r="BG64" s="18">
        <f t="shared" si="15"/>
        <v>0</v>
      </c>
      <c r="BH64">
        <f t="shared" si="16"/>
        <v>0</v>
      </c>
    </row>
    <row r="65" spans="1:60" x14ac:dyDescent="0.3">
      <c r="A65">
        <v>60</v>
      </c>
      <c r="B65" s="18">
        <v>0</v>
      </c>
      <c r="C65" s="18">
        <v>0</v>
      </c>
      <c r="D65" s="18">
        <v>0</v>
      </c>
      <c r="E65" s="18">
        <v>0</v>
      </c>
      <c r="F65" s="18">
        <v>0</v>
      </c>
      <c r="G65" s="18">
        <v>0</v>
      </c>
      <c r="H65" s="18">
        <v>0</v>
      </c>
      <c r="I65" s="18">
        <v>0</v>
      </c>
      <c r="J65" s="18">
        <v>0</v>
      </c>
      <c r="K65" s="18">
        <v>0</v>
      </c>
      <c r="L65" s="18">
        <v>0</v>
      </c>
      <c r="M65" s="18">
        <v>0</v>
      </c>
      <c r="N65" s="18">
        <v>0</v>
      </c>
      <c r="O65" s="18">
        <v>0</v>
      </c>
      <c r="P65" s="18">
        <v>0</v>
      </c>
      <c r="Q65" s="18">
        <v>0</v>
      </c>
      <c r="R65" s="18">
        <v>0</v>
      </c>
      <c r="S65" s="18">
        <v>0</v>
      </c>
      <c r="T65" s="18">
        <v>0</v>
      </c>
      <c r="U65" s="18">
        <v>0</v>
      </c>
      <c r="V65" s="18">
        <v>0</v>
      </c>
      <c r="W65" s="18">
        <v>0</v>
      </c>
      <c r="X65" s="18">
        <v>0</v>
      </c>
      <c r="Y65" s="18">
        <v>0</v>
      </c>
      <c r="Z65" s="18">
        <v>0</v>
      </c>
      <c r="AA65" s="18">
        <v>0</v>
      </c>
      <c r="AB65" s="18">
        <v>0</v>
      </c>
      <c r="AC65" s="18">
        <v>0</v>
      </c>
      <c r="AD65" s="18">
        <v>0</v>
      </c>
      <c r="AE65" s="18">
        <v>0</v>
      </c>
      <c r="AF65" s="18">
        <v>0</v>
      </c>
      <c r="AH65" s="18">
        <f t="shared" si="23"/>
        <v>0</v>
      </c>
      <c r="AI65" s="18">
        <v>0</v>
      </c>
      <c r="AJ65" s="18">
        <f>SUM(AH65:AI65)</f>
        <v>0</v>
      </c>
      <c r="AK65" s="18">
        <v>0</v>
      </c>
      <c r="AL65" s="18"/>
      <c r="AM65" s="18">
        <f t="shared" si="17"/>
        <v>0</v>
      </c>
      <c r="AN65" s="8">
        <f t="shared" si="3"/>
        <v>0</v>
      </c>
      <c r="AO65" s="18"/>
      <c r="AP65" s="7">
        <f t="shared" si="25"/>
        <v>431999.99999999994</v>
      </c>
      <c r="AQ65" s="8">
        <f t="shared" si="26"/>
        <v>0</v>
      </c>
      <c r="AR65" s="8">
        <f t="shared" si="9"/>
        <v>0</v>
      </c>
      <c r="AS65" s="23"/>
      <c r="AT65" s="497">
        <f>AT114*AM65/AT$3</f>
        <v>0</v>
      </c>
      <c r="AU65" s="8">
        <f t="shared" si="4"/>
        <v>0</v>
      </c>
      <c r="AV65" s="18"/>
      <c r="AW65" s="23">
        <f t="shared" si="27"/>
        <v>28566000.000000004</v>
      </c>
      <c r="AX65" s="23">
        <f t="shared" si="18"/>
        <v>0</v>
      </c>
      <c r="AY65" s="8">
        <f t="shared" si="11"/>
        <v>0</v>
      </c>
      <c r="AZ65" s="23"/>
      <c r="BA65">
        <f t="shared" si="28"/>
        <v>60</v>
      </c>
      <c r="BB65" s="18">
        <f t="shared" si="24"/>
        <v>0</v>
      </c>
      <c r="BC65">
        <f t="shared" si="13"/>
        <v>0</v>
      </c>
      <c r="BD65">
        <f t="shared" si="6"/>
        <v>0</v>
      </c>
      <c r="BF65">
        <f t="shared" si="14"/>
        <v>60</v>
      </c>
      <c r="BG65" s="18">
        <f t="shared" si="15"/>
        <v>0</v>
      </c>
      <c r="BH65">
        <f t="shared" si="16"/>
        <v>0</v>
      </c>
    </row>
    <row r="66" spans="1:60" x14ac:dyDescent="0.3">
      <c r="A66">
        <v>61</v>
      </c>
      <c r="B66" s="18">
        <v>0</v>
      </c>
      <c r="C66" s="18">
        <v>0</v>
      </c>
      <c r="D66" s="18">
        <v>0</v>
      </c>
      <c r="E66" s="18">
        <v>0</v>
      </c>
      <c r="F66" s="18">
        <v>0</v>
      </c>
      <c r="G66" s="18">
        <v>0</v>
      </c>
      <c r="H66" s="18">
        <v>0</v>
      </c>
      <c r="I66" s="18">
        <v>0</v>
      </c>
      <c r="J66" s="18">
        <v>0</v>
      </c>
      <c r="K66" s="18">
        <v>0</v>
      </c>
      <c r="L66" s="18">
        <v>0</v>
      </c>
      <c r="M66" s="18">
        <v>0</v>
      </c>
      <c r="N66" s="18">
        <v>0</v>
      </c>
      <c r="O66" s="18">
        <v>0</v>
      </c>
      <c r="P66" s="18">
        <v>0</v>
      </c>
      <c r="Q66" s="18">
        <v>0</v>
      </c>
      <c r="R66" s="18">
        <v>0</v>
      </c>
      <c r="S66" s="18">
        <v>0</v>
      </c>
      <c r="T66" s="18">
        <v>0</v>
      </c>
      <c r="U66" s="18">
        <v>0</v>
      </c>
      <c r="V66" s="18">
        <v>0</v>
      </c>
      <c r="W66" s="18">
        <v>0</v>
      </c>
      <c r="X66" s="18">
        <v>0</v>
      </c>
      <c r="Y66" s="18">
        <v>0</v>
      </c>
      <c r="Z66" s="18">
        <v>0</v>
      </c>
      <c r="AA66" s="18">
        <v>0</v>
      </c>
      <c r="AB66" s="18">
        <v>0</v>
      </c>
      <c r="AC66" s="18">
        <v>0</v>
      </c>
      <c r="AD66" s="18">
        <v>0</v>
      </c>
      <c r="AE66" s="18">
        <v>0</v>
      </c>
      <c r="AF66" s="18">
        <v>0</v>
      </c>
      <c r="AG66" s="18"/>
      <c r="AH66" s="18">
        <f t="shared" si="23"/>
        <v>0</v>
      </c>
      <c r="AI66" s="18">
        <v>0</v>
      </c>
      <c r="AJ66" s="18">
        <f t="shared" si="2"/>
        <v>0</v>
      </c>
      <c r="AK66" s="18">
        <v>0</v>
      </c>
      <c r="AL66" s="18"/>
      <c r="AM66" s="18">
        <f t="shared" si="17"/>
        <v>0</v>
      </c>
      <c r="AN66" s="8">
        <f t="shared" si="3"/>
        <v>0</v>
      </c>
      <c r="AO66" s="18"/>
      <c r="AP66" s="7">
        <f t="shared" si="25"/>
        <v>439199.99999999994</v>
      </c>
      <c r="AQ66" s="8">
        <f t="shared" si="26"/>
        <v>0</v>
      </c>
      <c r="AR66" s="8">
        <f t="shared" si="9"/>
        <v>0</v>
      </c>
      <c r="AS66" s="23"/>
      <c r="AT66" s="18">
        <f t="shared" si="29"/>
        <v>0</v>
      </c>
      <c r="AU66" s="8">
        <f t="shared" si="4"/>
        <v>0</v>
      </c>
      <c r="AV66" s="18"/>
      <c r="AW66" s="23">
        <f t="shared" si="27"/>
        <v>29042100.000000004</v>
      </c>
      <c r="AX66" s="23">
        <f t="shared" si="18"/>
        <v>0</v>
      </c>
      <c r="AY66" s="8">
        <f t="shared" si="11"/>
        <v>0</v>
      </c>
      <c r="AZ66" s="23"/>
      <c r="BA66">
        <f t="shared" si="28"/>
        <v>61</v>
      </c>
      <c r="BB66" s="18">
        <f t="shared" si="24"/>
        <v>0</v>
      </c>
      <c r="BC66">
        <f t="shared" si="13"/>
        <v>0</v>
      </c>
      <c r="BD66">
        <f t="shared" si="6"/>
        <v>0</v>
      </c>
      <c r="BF66">
        <f t="shared" si="14"/>
        <v>61</v>
      </c>
      <c r="BG66" s="18">
        <f t="shared" si="15"/>
        <v>0</v>
      </c>
      <c r="BH66">
        <f t="shared" si="16"/>
        <v>0</v>
      </c>
    </row>
    <row r="67" spans="1:60" x14ac:dyDescent="0.3">
      <c r="A67">
        <v>62</v>
      </c>
      <c r="B67" s="18">
        <v>0</v>
      </c>
      <c r="C67" s="18">
        <v>0</v>
      </c>
      <c r="D67" s="18">
        <v>0</v>
      </c>
      <c r="E67" s="18">
        <v>0</v>
      </c>
      <c r="F67" s="18">
        <v>0</v>
      </c>
      <c r="G67" s="18">
        <v>0</v>
      </c>
      <c r="H67" s="18">
        <v>0</v>
      </c>
      <c r="I67" s="18">
        <v>0</v>
      </c>
      <c r="J67" s="18">
        <v>0</v>
      </c>
      <c r="K67" s="18">
        <v>0</v>
      </c>
      <c r="L67" s="18">
        <v>0</v>
      </c>
      <c r="M67" s="18">
        <v>0</v>
      </c>
      <c r="N67" s="18">
        <v>0</v>
      </c>
      <c r="O67" s="18">
        <v>0</v>
      </c>
      <c r="P67" s="18">
        <v>0</v>
      </c>
      <c r="Q67" s="18">
        <v>0</v>
      </c>
      <c r="R67" s="18">
        <v>0</v>
      </c>
      <c r="S67" s="18">
        <v>0</v>
      </c>
      <c r="T67" s="18">
        <v>0</v>
      </c>
      <c r="U67" s="18">
        <v>0</v>
      </c>
      <c r="V67" s="18">
        <v>0</v>
      </c>
      <c r="W67" s="18">
        <v>0</v>
      </c>
      <c r="X67" s="18">
        <v>0</v>
      </c>
      <c r="Y67" s="18">
        <v>0</v>
      </c>
      <c r="Z67" s="18">
        <v>0</v>
      </c>
      <c r="AA67" s="18">
        <v>0</v>
      </c>
      <c r="AB67" s="18">
        <v>0</v>
      </c>
      <c r="AC67" s="18">
        <v>0</v>
      </c>
      <c r="AD67" s="18">
        <v>0</v>
      </c>
      <c r="AE67" s="18">
        <v>0</v>
      </c>
      <c r="AF67" s="18">
        <v>0</v>
      </c>
      <c r="AG67" s="18"/>
      <c r="AH67" s="18">
        <f t="shared" si="23"/>
        <v>0</v>
      </c>
      <c r="AI67" s="18">
        <v>0</v>
      </c>
      <c r="AJ67" s="18">
        <f t="shared" si="2"/>
        <v>0</v>
      </c>
      <c r="AK67" s="18">
        <v>0</v>
      </c>
      <c r="AL67" s="18"/>
      <c r="AM67" s="18">
        <f t="shared" si="17"/>
        <v>0</v>
      </c>
      <c r="AN67" s="8">
        <f t="shared" si="3"/>
        <v>0</v>
      </c>
      <c r="AO67" s="18"/>
      <c r="AP67" s="7">
        <f t="shared" si="25"/>
        <v>446399.99999999994</v>
      </c>
      <c r="AQ67" s="8">
        <f t="shared" si="26"/>
        <v>0</v>
      </c>
      <c r="AR67" s="8">
        <f t="shared" si="9"/>
        <v>0</v>
      </c>
      <c r="AS67" s="23"/>
      <c r="AT67" s="18">
        <f t="shared" si="29"/>
        <v>0</v>
      </c>
      <c r="AU67" s="8">
        <f t="shared" si="4"/>
        <v>0</v>
      </c>
      <c r="AV67" s="18"/>
      <c r="AW67" s="23">
        <f t="shared" si="27"/>
        <v>29518200.000000004</v>
      </c>
      <c r="AX67" s="23">
        <f t="shared" si="18"/>
        <v>0</v>
      </c>
      <c r="AY67" s="8">
        <f t="shared" si="11"/>
        <v>0</v>
      </c>
      <c r="AZ67" s="23"/>
      <c r="BA67">
        <f t="shared" si="28"/>
        <v>62</v>
      </c>
      <c r="BB67" s="18">
        <f t="shared" si="24"/>
        <v>0</v>
      </c>
      <c r="BC67">
        <f t="shared" si="13"/>
        <v>0</v>
      </c>
      <c r="BD67">
        <f t="shared" si="6"/>
        <v>0</v>
      </c>
      <c r="BF67">
        <f t="shared" si="14"/>
        <v>62</v>
      </c>
      <c r="BG67" s="18">
        <f t="shared" si="15"/>
        <v>0</v>
      </c>
      <c r="BH67">
        <f t="shared" si="16"/>
        <v>0</v>
      </c>
    </row>
    <row r="68" spans="1:60" x14ac:dyDescent="0.3">
      <c r="A68">
        <v>63</v>
      </c>
      <c r="B68" s="18">
        <v>0</v>
      </c>
      <c r="C68" s="18">
        <v>0</v>
      </c>
      <c r="D68" s="18">
        <v>0</v>
      </c>
      <c r="E68" s="18">
        <v>0</v>
      </c>
      <c r="F68" s="18">
        <v>0</v>
      </c>
      <c r="G68" s="18">
        <v>0</v>
      </c>
      <c r="H68" s="18">
        <v>0</v>
      </c>
      <c r="I68" s="18">
        <v>0</v>
      </c>
      <c r="J68" s="18">
        <v>0</v>
      </c>
      <c r="K68" s="18">
        <v>0</v>
      </c>
      <c r="L68" s="18">
        <v>0</v>
      </c>
      <c r="M68" s="18">
        <v>0</v>
      </c>
      <c r="N68" s="18">
        <v>0</v>
      </c>
      <c r="O68" s="18">
        <v>0</v>
      </c>
      <c r="P68" s="18">
        <v>0</v>
      </c>
      <c r="Q68" s="18">
        <v>0</v>
      </c>
      <c r="R68" s="18">
        <v>0</v>
      </c>
      <c r="S68" s="18">
        <v>0</v>
      </c>
      <c r="T68" s="18">
        <v>0</v>
      </c>
      <c r="U68" s="18">
        <v>0</v>
      </c>
      <c r="V68" s="18">
        <v>0</v>
      </c>
      <c r="W68" s="18">
        <v>0</v>
      </c>
      <c r="X68" s="18">
        <v>0</v>
      </c>
      <c r="Y68" s="18">
        <v>0</v>
      </c>
      <c r="Z68" s="18">
        <v>0</v>
      </c>
      <c r="AA68" s="18">
        <v>0</v>
      </c>
      <c r="AB68" s="18">
        <v>0</v>
      </c>
      <c r="AC68" s="18">
        <v>0</v>
      </c>
      <c r="AD68" s="18">
        <v>0</v>
      </c>
      <c r="AE68" s="18">
        <v>0</v>
      </c>
      <c r="AF68" s="18">
        <v>0</v>
      </c>
      <c r="AH68" s="18">
        <f t="shared" si="23"/>
        <v>0</v>
      </c>
      <c r="AI68" s="18">
        <v>0</v>
      </c>
      <c r="AJ68" s="18">
        <f>SUM(AH68:AI68)</f>
        <v>0</v>
      </c>
      <c r="AK68" s="18">
        <v>0</v>
      </c>
      <c r="AL68" s="18"/>
      <c r="AM68" s="18">
        <f t="shared" si="17"/>
        <v>0</v>
      </c>
      <c r="AN68" s="8">
        <f t="shared" si="3"/>
        <v>0</v>
      </c>
      <c r="AO68" s="18"/>
      <c r="AP68" s="7">
        <f t="shared" si="25"/>
        <v>453599.99999999994</v>
      </c>
      <c r="AQ68" s="8">
        <f t="shared" si="26"/>
        <v>0</v>
      </c>
      <c r="AR68" s="8">
        <f t="shared" si="9"/>
        <v>0</v>
      </c>
      <c r="AS68" s="23"/>
      <c r="AT68" s="497">
        <f>AT114*AM68/AT$3</f>
        <v>0</v>
      </c>
      <c r="AU68" s="8">
        <f t="shared" si="4"/>
        <v>0</v>
      </c>
      <c r="AV68" s="18"/>
      <c r="AW68" s="23">
        <f t="shared" si="27"/>
        <v>29994300.000000004</v>
      </c>
      <c r="AX68" s="23">
        <f t="shared" si="18"/>
        <v>0</v>
      </c>
      <c r="AY68" s="8">
        <f t="shared" si="11"/>
        <v>0</v>
      </c>
      <c r="AZ68" s="23"/>
      <c r="BA68">
        <f t="shared" si="28"/>
        <v>63</v>
      </c>
      <c r="BB68" s="18">
        <f t="shared" si="24"/>
        <v>0</v>
      </c>
      <c r="BC68">
        <f t="shared" si="13"/>
        <v>0</v>
      </c>
      <c r="BD68">
        <f t="shared" si="6"/>
        <v>0</v>
      </c>
      <c r="BF68">
        <f t="shared" si="14"/>
        <v>63</v>
      </c>
      <c r="BG68" s="18">
        <f t="shared" si="15"/>
        <v>0</v>
      </c>
      <c r="BH68">
        <f t="shared" si="16"/>
        <v>0</v>
      </c>
    </row>
    <row r="69" spans="1:60" x14ac:dyDescent="0.3">
      <c r="A69">
        <v>64</v>
      </c>
      <c r="B69" s="18">
        <v>0</v>
      </c>
      <c r="C69" s="18">
        <v>0</v>
      </c>
      <c r="D69" s="18">
        <v>0</v>
      </c>
      <c r="E69" s="18">
        <v>0</v>
      </c>
      <c r="F69" s="18">
        <v>0</v>
      </c>
      <c r="G69" s="18">
        <v>0</v>
      </c>
      <c r="H69" s="18">
        <v>0</v>
      </c>
      <c r="I69" s="18">
        <v>0</v>
      </c>
      <c r="J69" s="18">
        <v>0</v>
      </c>
      <c r="K69" s="18">
        <v>0</v>
      </c>
      <c r="L69" s="18">
        <v>0</v>
      </c>
      <c r="M69" s="18">
        <v>0</v>
      </c>
      <c r="N69" s="18">
        <v>0</v>
      </c>
      <c r="O69" s="18">
        <v>0</v>
      </c>
      <c r="P69" s="18">
        <v>0</v>
      </c>
      <c r="Q69" s="18">
        <v>0</v>
      </c>
      <c r="R69" s="18">
        <v>0</v>
      </c>
      <c r="S69" s="18">
        <v>0</v>
      </c>
      <c r="T69" s="18">
        <v>0</v>
      </c>
      <c r="U69" s="18">
        <v>0</v>
      </c>
      <c r="V69" s="18">
        <v>0</v>
      </c>
      <c r="W69" s="18">
        <v>0</v>
      </c>
      <c r="X69" s="18">
        <v>0</v>
      </c>
      <c r="Y69" s="18">
        <v>0</v>
      </c>
      <c r="Z69" s="18">
        <v>0</v>
      </c>
      <c r="AA69" s="18">
        <v>0</v>
      </c>
      <c r="AB69" s="18">
        <v>0</v>
      </c>
      <c r="AC69" s="18">
        <v>0</v>
      </c>
      <c r="AD69" s="18">
        <v>0</v>
      </c>
      <c r="AE69" s="18">
        <v>0</v>
      </c>
      <c r="AF69" s="18">
        <v>0</v>
      </c>
      <c r="AG69" s="18"/>
      <c r="AH69" s="18">
        <f t="shared" si="23"/>
        <v>0</v>
      </c>
      <c r="AI69" s="18">
        <v>0</v>
      </c>
      <c r="AJ69" s="18">
        <f t="shared" ref="AJ69:AJ105" si="30">SUM(AH69:AI69)</f>
        <v>0</v>
      </c>
      <c r="AK69" s="18">
        <v>0</v>
      </c>
      <c r="AL69" s="18"/>
      <c r="AM69" s="18">
        <f t="shared" si="17"/>
        <v>0</v>
      </c>
      <c r="AN69" s="8">
        <f t="shared" ref="AN69:AN105" si="31">IF(AM$6=0,0,100*AM69/AM$6)</f>
        <v>0</v>
      </c>
      <c r="AO69" s="18"/>
      <c r="AP69" s="7">
        <f t="shared" si="25"/>
        <v>460799.99999999994</v>
      </c>
      <c r="AQ69" s="8">
        <f t="shared" si="26"/>
        <v>0</v>
      </c>
      <c r="AR69" s="8">
        <f t="shared" si="9"/>
        <v>0</v>
      </c>
      <c r="AS69" s="23"/>
      <c r="AT69" s="18">
        <f t="shared" si="29"/>
        <v>0</v>
      </c>
      <c r="AU69" s="8">
        <f t="shared" ref="AU69:AU105" si="32">IF(AT$6=0,0,100*AT69/AT$6)</f>
        <v>0</v>
      </c>
      <c r="AV69" s="18"/>
      <c r="AW69" s="23">
        <f t="shared" si="27"/>
        <v>30470400.000000004</v>
      </c>
      <c r="AX69" s="23">
        <f t="shared" si="18"/>
        <v>0</v>
      </c>
      <c r="AY69" s="8">
        <f t="shared" si="11"/>
        <v>0</v>
      </c>
      <c r="AZ69" s="23"/>
      <c r="BA69">
        <f t="shared" si="28"/>
        <v>64</v>
      </c>
      <c r="BB69" s="18">
        <f t="shared" si="24"/>
        <v>0</v>
      </c>
      <c r="BC69">
        <f t="shared" si="13"/>
        <v>0</v>
      </c>
      <c r="BD69">
        <f t="shared" si="6"/>
        <v>0</v>
      </c>
      <c r="BF69">
        <f t="shared" si="14"/>
        <v>64</v>
      </c>
      <c r="BG69" s="18">
        <f t="shared" si="15"/>
        <v>0</v>
      </c>
      <c r="BH69">
        <f t="shared" si="16"/>
        <v>0</v>
      </c>
    </row>
    <row r="70" spans="1:60" x14ac:dyDescent="0.3">
      <c r="A70">
        <v>65</v>
      </c>
      <c r="B70" s="18">
        <v>0</v>
      </c>
      <c r="C70" s="18">
        <v>0</v>
      </c>
      <c r="D70" s="18">
        <v>0</v>
      </c>
      <c r="E70" s="18">
        <v>0</v>
      </c>
      <c r="F70" s="18">
        <v>0</v>
      </c>
      <c r="G70" s="18">
        <v>0</v>
      </c>
      <c r="H70" s="18">
        <v>0</v>
      </c>
      <c r="I70" s="18">
        <v>0</v>
      </c>
      <c r="J70" s="18">
        <v>0</v>
      </c>
      <c r="K70" s="18">
        <v>0</v>
      </c>
      <c r="L70" s="18">
        <v>0</v>
      </c>
      <c r="M70" s="18">
        <v>0</v>
      </c>
      <c r="N70" s="18">
        <v>0</v>
      </c>
      <c r="O70" s="18">
        <v>0</v>
      </c>
      <c r="P70" s="18">
        <v>0</v>
      </c>
      <c r="Q70" s="18">
        <v>0</v>
      </c>
      <c r="R70" s="18">
        <v>0</v>
      </c>
      <c r="S70" s="18">
        <v>0</v>
      </c>
      <c r="T70" s="18">
        <v>0</v>
      </c>
      <c r="U70" s="18">
        <v>0</v>
      </c>
      <c r="V70" s="18">
        <v>0</v>
      </c>
      <c r="W70" s="18">
        <v>0</v>
      </c>
      <c r="X70" s="18">
        <v>0</v>
      </c>
      <c r="Y70" s="18">
        <v>0</v>
      </c>
      <c r="Z70" s="18">
        <v>0</v>
      </c>
      <c r="AA70" s="18">
        <v>0</v>
      </c>
      <c r="AB70" s="18">
        <v>0</v>
      </c>
      <c r="AC70" s="18">
        <v>0</v>
      </c>
      <c r="AD70" s="18">
        <v>0</v>
      </c>
      <c r="AE70" s="18">
        <v>0</v>
      </c>
      <c r="AF70" s="18">
        <v>0</v>
      </c>
      <c r="AG70" s="18"/>
      <c r="AH70" s="18">
        <f t="shared" si="23"/>
        <v>0</v>
      </c>
      <c r="AI70" s="18">
        <v>0</v>
      </c>
      <c r="AJ70" s="18">
        <f t="shared" si="30"/>
        <v>0</v>
      </c>
      <c r="AK70" s="18">
        <v>0</v>
      </c>
      <c r="AL70" s="18"/>
      <c r="AM70" s="18">
        <f t="shared" si="17"/>
        <v>0</v>
      </c>
      <c r="AN70" s="8">
        <f t="shared" si="31"/>
        <v>0</v>
      </c>
      <c r="AO70" s="18"/>
      <c r="AP70" s="7">
        <f t="shared" si="25"/>
        <v>467999.99999999994</v>
      </c>
      <c r="AQ70" s="8">
        <f t="shared" si="26"/>
        <v>0</v>
      </c>
      <c r="AR70" s="8">
        <f t="shared" si="9"/>
        <v>0</v>
      </c>
      <c r="AS70" s="23"/>
      <c r="AT70" s="18">
        <f t="shared" si="29"/>
        <v>0</v>
      </c>
      <c r="AU70" s="8">
        <f t="shared" si="32"/>
        <v>0</v>
      </c>
      <c r="AV70" s="18"/>
      <c r="AW70" s="23">
        <f t="shared" si="27"/>
        <v>30946500.000000004</v>
      </c>
      <c r="AX70" s="23">
        <f t="shared" si="18"/>
        <v>0</v>
      </c>
      <c r="AY70" s="8">
        <f t="shared" si="11"/>
        <v>0</v>
      </c>
      <c r="AZ70" s="23"/>
      <c r="BA70">
        <f t="shared" si="28"/>
        <v>65</v>
      </c>
      <c r="BB70" s="18">
        <f t="shared" ref="BB70:BB105" si="33">AM70</f>
        <v>0</v>
      </c>
      <c r="BC70">
        <f t="shared" si="13"/>
        <v>0</v>
      </c>
      <c r="BD70">
        <f t="shared" ref="BD70:BD105" si="34">BA70*BC70</f>
        <v>0</v>
      </c>
      <c r="BF70">
        <f t="shared" si="14"/>
        <v>65</v>
      </c>
      <c r="BG70" s="18">
        <f t="shared" si="15"/>
        <v>0</v>
      </c>
      <c r="BH70">
        <f t="shared" si="16"/>
        <v>0</v>
      </c>
    </row>
    <row r="71" spans="1:60" x14ac:dyDescent="0.3">
      <c r="A71">
        <v>66</v>
      </c>
      <c r="B71" s="18">
        <v>0</v>
      </c>
      <c r="C71" s="18">
        <v>0</v>
      </c>
      <c r="D71" s="18">
        <v>0</v>
      </c>
      <c r="E71" s="18">
        <v>0</v>
      </c>
      <c r="F71" s="18">
        <v>0</v>
      </c>
      <c r="G71" s="18">
        <v>0</v>
      </c>
      <c r="H71" s="18">
        <v>0</v>
      </c>
      <c r="I71" s="18">
        <v>0</v>
      </c>
      <c r="J71" s="18">
        <v>0</v>
      </c>
      <c r="K71" s="18">
        <v>0</v>
      </c>
      <c r="L71" s="18">
        <v>0</v>
      </c>
      <c r="M71" s="18">
        <v>0</v>
      </c>
      <c r="N71" s="18">
        <v>0</v>
      </c>
      <c r="O71" s="18">
        <v>0</v>
      </c>
      <c r="P71" s="18">
        <v>0</v>
      </c>
      <c r="Q71" s="18">
        <v>0</v>
      </c>
      <c r="R71" s="18">
        <v>0</v>
      </c>
      <c r="S71" s="18">
        <v>0</v>
      </c>
      <c r="T71" s="18">
        <v>0</v>
      </c>
      <c r="U71" s="18">
        <v>0</v>
      </c>
      <c r="V71" s="18">
        <v>0</v>
      </c>
      <c r="W71" s="18">
        <v>0</v>
      </c>
      <c r="X71" s="18">
        <v>0</v>
      </c>
      <c r="Y71" s="18">
        <v>0</v>
      </c>
      <c r="Z71" s="18">
        <v>0</v>
      </c>
      <c r="AA71" s="18">
        <v>0</v>
      </c>
      <c r="AB71" s="18">
        <v>0</v>
      </c>
      <c r="AC71" s="18">
        <v>0</v>
      </c>
      <c r="AD71" s="18">
        <v>0</v>
      </c>
      <c r="AE71" s="18">
        <v>0</v>
      </c>
      <c r="AF71" s="18">
        <v>0</v>
      </c>
      <c r="AH71" s="18">
        <f t="shared" si="23"/>
        <v>0</v>
      </c>
      <c r="AI71" s="18">
        <v>0</v>
      </c>
      <c r="AJ71" s="18">
        <f>SUM(AH71:AI71)</f>
        <v>0</v>
      </c>
      <c r="AK71" s="18">
        <v>0</v>
      </c>
      <c r="AL71" s="18"/>
      <c r="AM71" s="18">
        <f t="shared" si="17"/>
        <v>0</v>
      </c>
      <c r="AN71" s="8">
        <f t="shared" si="31"/>
        <v>0</v>
      </c>
      <c r="AO71" s="18"/>
      <c r="AP71" s="7">
        <f t="shared" ref="AP71:AP105" si="35">A71*AP$6</f>
        <v>475199.99999999994</v>
      </c>
      <c r="AQ71" s="8">
        <f t="shared" ref="AQ71:AQ102" si="36">AM71*AP71/1000000</f>
        <v>0</v>
      </c>
      <c r="AR71" s="8">
        <f t="shared" ref="AR71:AR105" si="37">100*AQ71/AQ$6</f>
        <v>0</v>
      </c>
      <c r="AS71" s="23"/>
      <c r="AT71" s="497">
        <f>AT114*AM71/AT$3</f>
        <v>0</v>
      </c>
      <c r="AU71" s="8">
        <f t="shared" si="32"/>
        <v>0</v>
      </c>
      <c r="AV71" s="18"/>
      <c r="AW71" s="23">
        <f t="shared" ref="AW71:AW105" si="38">A71*AW$6</f>
        <v>31422600.000000004</v>
      </c>
      <c r="AX71" s="23">
        <f t="shared" si="18"/>
        <v>0</v>
      </c>
      <c r="AY71" s="8">
        <f t="shared" ref="AY71:AY105" si="39">100*AX71/AX$6</f>
        <v>0</v>
      </c>
      <c r="AZ71" s="23"/>
      <c r="BA71">
        <f t="shared" ref="BA71:BA105" si="40">A71</f>
        <v>66</v>
      </c>
      <c r="BB71" s="18">
        <f t="shared" si="33"/>
        <v>0</v>
      </c>
      <c r="BC71">
        <f t="shared" ref="BC71:BC105" si="41">IF(BB$107=0,0,BB71/BB$107)</f>
        <v>0</v>
      </c>
      <c r="BD71">
        <f t="shared" si="34"/>
        <v>0</v>
      </c>
      <c r="BF71">
        <f t="shared" ref="BF71:BF105" si="42">BA71</f>
        <v>66</v>
      </c>
      <c r="BG71" s="18">
        <f t="shared" ref="BG71:BG105" si="43">IF(BG$2="XFMR Pri",AT71,AM71)</f>
        <v>0</v>
      </c>
      <c r="BH71">
        <f t="shared" ref="BH71:BH105" si="44">IF(BH$2="XFMR Pri",AX71,AQ71)</f>
        <v>0</v>
      </c>
    </row>
    <row r="72" spans="1:60" x14ac:dyDescent="0.3">
      <c r="A72">
        <v>67</v>
      </c>
      <c r="B72" s="18">
        <v>0</v>
      </c>
      <c r="C72" s="18">
        <v>0</v>
      </c>
      <c r="D72" s="18">
        <v>0</v>
      </c>
      <c r="E72" s="18">
        <v>0</v>
      </c>
      <c r="F72" s="18">
        <v>0</v>
      </c>
      <c r="G72" s="18">
        <v>0</v>
      </c>
      <c r="H72" s="18">
        <v>0</v>
      </c>
      <c r="I72" s="18">
        <v>0</v>
      </c>
      <c r="J72" s="18">
        <v>0</v>
      </c>
      <c r="K72" s="18">
        <v>0</v>
      </c>
      <c r="L72" s="18">
        <v>0</v>
      </c>
      <c r="M72" s="18">
        <v>0</v>
      </c>
      <c r="N72" s="18">
        <v>0</v>
      </c>
      <c r="O72" s="18">
        <v>0</v>
      </c>
      <c r="P72" s="18">
        <v>0</v>
      </c>
      <c r="Q72" s="18">
        <v>0</v>
      </c>
      <c r="R72" s="18">
        <v>0</v>
      </c>
      <c r="S72" s="18">
        <v>0</v>
      </c>
      <c r="T72" s="18">
        <v>0</v>
      </c>
      <c r="U72" s="18">
        <v>0</v>
      </c>
      <c r="V72" s="18">
        <v>0</v>
      </c>
      <c r="W72" s="18">
        <v>0</v>
      </c>
      <c r="X72" s="18">
        <v>0</v>
      </c>
      <c r="Y72" s="18">
        <v>0</v>
      </c>
      <c r="Z72" s="18">
        <v>0</v>
      </c>
      <c r="AA72" s="18">
        <v>0</v>
      </c>
      <c r="AB72" s="18">
        <v>0</v>
      </c>
      <c r="AC72" s="18">
        <v>0</v>
      </c>
      <c r="AD72" s="18">
        <v>0</v>
      </c>
      <c r="AE72" s="18">
        <v>0</v>
      </c>
      <c r="AF72" s="18">
        <v>0</v>
      </c>
      <c r="AG72" s="18"/>
      <c r="AH72" s="18">
        <f t="shared" si="23"/>
        <v>0</v>
      </c>
      <c r="AI72" s="18">
        <v>0</v>
      </c>
      <c r="AJ72" s="18">
        <f t="shared" si="30"/>
        <v>0</v>
      </c>
      <c r="AK72" s="18">
        <v>0</v>
      </c>
      <c r="AL72" s="18"/>
      <c r="AM72" s="18">
        <f t="shared" ref="AM72:AM105" si="45">SUM(AJ72:AK72)</f>
        <v>0</v>
      </c>
      <c r="AN72" s="8">
        <f t="shared" si="31"/>
        <v>0</v>
      </c>
      <c r="AO72" s="18"/>
      <c r="AP72" s="7">
        <f t="shared" si="35"/>
        <v>482399.99999999994</v>
      </c>
      <c r="AQ72" s="8">
        <f t="shared" si="36"/>
        <v>0</v>
      </c>
      <c r="AR72" s="8">
        <f t="shared" si="37"/>
        <v>0</v>
      </c>
      <c r="AS72" s="23"/>
      <c r="AT72" s="18">
        <f t="shared" si="29"/>
        <v>0</v>
      </c>
      <c r="AU72" s="8">
        <f t="shared" si="32"/>
        <v>0</v>
      </c>
      <c r="AV72" s="18"/>
      <c r="AW72" s="23">
        <f t="shared" si="38"/>
        <v>31898700.000000004</v>
      </c>
      <c r="AX72" s="23">
        <f t="shared" ref="AX72:AX105" si="46">AT72*AW72/1000000</f>
        <v>0</v>
      </c>
      <c r="AY72" s="8">
        <f t="shared" si="39"/>
        <v>0</v>
      </c>
      <c r="AZ72" s="23"/>
      <c r="BA72">
        <f t="shared" si="40"/>
        <v>67</v>
      </c>
      <c r="BB72" s="18">
        <f t="shared" si="33"/>
        <v>0</v>
      </c>
      <c r="BC72">
        <f t="shared" si="41"/>
        <v>0</v>
      </c>
      <c r="BD72">
        <f t="shared" si="34"/>
        <v>0</v>
      </c>
      <c r="BF72">
        <f t="shared" si="42"/>
        <v>67</v>
      </c>
      <c r="BG72" s="18">
        <f t="shared" si="43"/>
        <v>0</v>
      </c>
      <c r="BH72">
        <f t="shared" si="44"/>
        <v>0</v>
      </c>
    </row>
    <row r="73" spans="1:60" x14ac:dyDescent="0.3">
      <c r="A73">
        <v>68</v>
      </c>
      <c r="B73" s="18">
        <v>0</v>
      </c>
      <c r="C73" s="18">
        <v>0</v>
      </c>
      <c r="D73" s="18">
        <v>0</v>
      </c>
      <c r="E73" s="18">
        <v>0</v>
      </c>
      <c r="F73" s="18">
        <v>0</v>
      </c>
      <c r="G73" s="18">
        <v>0</v>
      </c>
      <c r="H73" s="18">
        <v>0</v>
      </c>
      <c r="I73" s="18">
        <v>0</v>
      </c>
      <c r="J73" s="18">
        <v>0</v>
      </c>
      <c r="K73" s="18">
        <v>0</v>
      </c>
      <c r="L73" s="18">
        <v>0</v>
      </c>
      <c r="M73" s="18">
        <v>0</v>
      </c>
      <c r="N73" s="18">
        <v>0</v>
      </c>
      <c r="O73" s="18">
        <v>0</v>
      </c>
      <c r="P73" s="18">
        <v>0</v>
      </c>
      <c r="Q73" s="18">
        <v>0</v>
      </c>
      <c r="R73" s="18">
        <v>0</v>
      </c>
      <c r="S73" s="18">
        <v>0</v>
      </c>
      <c r="T73" s="18">
        <v>0</v>
      </c>
      <c r="U73" s="18">
        <v>0</v>
      </c>
      <c r="V73" s="18">
        <v>0</v>
      </c>
      <c r="W73" s="18">
        <v>0</v>
      </c>
      <c r="X73" s="18">
        <v>0</v>
      </c>
      <c r="Y73" s="18">
        <v>0</v>
      </c>
      <c r="Z73" s="18">
        <v>0</v>
      </c>
      <c r="AA73" s="18">
        <v>0</v>
      </c>
      <c r="AB73" s="18">
        <v>0</v>
      </c>
      <c r="AC73" s="18">
        <v>0</v>
      </c>
      <c r="AD73" s="18">
        <v>0</v>
      </c>
      <c r="AE73" s="18">
        <v>0</v>
      </c>
      <c r="AF73" s="18">
        <v>0</v>
      </c>
      <c r="AG73" s="18"/>
      <c r="AH73" s="18">
        <f t="shared" si="23"/>
        <v>0</v>
      </c>
      <c r="AI73" s="18">
        <v>0</v>
      </c>
      <c r="AJ73" s="18">
        <f t="shared" si="30"/>
        <v>0</v>
      </c>
      <c r="AK73" s="18">
        <v>0</v>
      </c>
      <c r="AL73" s="18"/>
      <c r="AM73" s="18">
        <f t="shared" si="45"/>
        <v>0</v>
      </c>
      <c r="AN73" s="8">
        <f t="shared" si="31"/>
        <v>0</v>
      </c>
      <c r="AO73" s="18"/>
      <c r="AP73" s="7">
        <f t="shared" si="35"/>
        <v>489599.99999999994</v>
      </c>
      <c r="AQ73" s="8">
        <f t="shared" si="36"/>
        <v>0</v>
      </c>
      <c r="AR73" s="8">
        <f t="shared" si="37"/>
        <v>0</v>
      </c>
      <c r="AS73" s="23"/>
      <c r="AT73" s="18">
        <f t="shared" si="29"/>
        <v>0</v>
      </c>
      <c r="AU73" s="8">
        <f t="shared" si="32"/>
        <v>0</v>
      </c>
      <c r="AV73" s="18"/>
      <c r="AW73" s="23">
        <f t="shared" si="38"/>
        <v>32374800.000000004</v>
      </c>
      <c r="AX73" s="23">
        <f t="shared" si="46"/>
        <v>0</v>
      </c>
      <c r="AY73" s="8">
        <f t="shared" si="39"/>
        <v>0</v>
      </c>
      <c r="AZ73" s="23"/>
      <c r="BA73">
        <f t="shared" si="40"/>
        <v>68</v>
      </c>
      <c r="BB73" s="18">
        <f t="shared" si="33"/>
        <v>0</v>
      </c>
      <c r="BC73">
        <f t="shared" si="41"/>
        <v>0</v>
      </c>
      <c r="BD73">
        <f t="shared" si="34"/>
        <v>0</v>
      </c>
      <c r="BF73">
        <f t="shared" si="42"/>
        <v>68</v>
      </c>
      <c r="BG73" s="18">
        <f t="shared" si="43"/>
        <v>0</v>
      </c>
      <c r="BH73">
        <f t="shared" si="44"/>
        <v>0</v>
      </c>
    </row>
    <row r="74" spans="1:60" x14ac:dyDescent="0.3">
      <c r="A74">
        <v>69</v>
      </c>
      <c r="B74" s="18">
        <v>0</v>
      </c>
      <c r="C74" s="18">
        <v>0</v>
      </c>
      <c r="D74" s="18">
        <v>0</v>
      </c>
      <c r="E74" s="18">
        <v>0</v>
      </c>
      <c r="F74" s="18">
        <v>0</v>
      </c>
      <c r="G74" s="18">
        <v>0</v>
      </c>
      <c r="H74" s="18">
        <v>0</v>
      </c>
      <c r="I74" s="18">
        <v>0</v>
      </c>
      <c r="J74" s="18">
        <v>0</v>
      </c>
      <c r="K74" s="18">
        <v>0</v>
      </c>
      <c r="L74" s="18">
        <v>0</v>
      </c>
      <c r="M74" s="18">
        <v>0</v>
      </c>
      <c r="N74" s="18">
        <v>0</v>
      </c>
      <c r="O74" s="18">
        <v>0</v>
      </c>
      <c r="P74" s="18">
        <v>0</v>
      </c>
      <c r="Q74" s="18">
        <v>0</v>
      </c>
      <c r="R74" s="18">
        <v>0</v>
      </c>
      <c r="S74" s="18">
        <v>0</v>
      </c>
      <c r="T74" s="18">
        <v>0</v>
      </c>
      <c r="U74" s="18">
        <v>0</v>
      </c>
      <c r="V74" s="18">
        <v>0</v>
      </c>
      <c r="W74" s="18">
        <v>0</v>
      </c>
      <c r="X74" s="18">
        <v>0</v>
      </c>
      <c r="Y74" s="18">
        <v>0</v>
      </c>
      <c r="Z74" s="18">
        <v>0</v>
      </c>
      <c r="AA74" s="18">
        <v>0</v>
      </c>
      <c r="AB74" s="18">
        <v>0</v>
      </c>
      <c r="AC74" s="18">
        <v>0</v>
      </c>
      <c r="AD74" s="18">
        <v>0</v>
      </c>
      <c r="AE74" s="18">
        <v>0</v>
      </c>
      <c r="AF74" s="18">
        <v>0</v>
      </c>
      <c r="AH74" s="18">
        <f t="shared" si="23"/>
        <v>0</v>
      </c>
      <c r="AI74" s="18">
        <v>0</v>
      </c>
      <c r="AJ74" s="18">
        <f>SUM(AH74:AI74)</f>
        <v>0</v>
      </c>
      <c r="AK74" s="18">
        <v>0</v>
      </c>
      <c r="AL74" s="18"/>
      <c r="AM74" s="18">
        <f t="shared" si="45"/>
        <v>0</v>
      </c>
      <c r="AN74" s="8">
        <f t="shared" si="31"/>
        <v>0</v>
      </c>
      <c r="AO74" s="18"/>
      <c r="AP74" s="7">
        <f t="shared" si="35"/>
        <v>496799.99999999994</v>
      </c>
      <c r="AQ74" s="8">
        <f t="shared" si="36"/>
        <v>0</v>
      </c>
      <c r="AR74" s="8">
        <f t="shared" si="37"/>
        <v>0</v>
      </c>
      <c r="AS74" s="23"/>
      <c r="AT74" s="497">
        <f>AT114*AM74/AT$3</f>
        <v>0</v>
      </c>
      <c r="AU74" s="8">
        <f t="shared" si="32"/>
        <v>0</v>
      </c>
      <c r="AV74" s="18"/>
      <c r="AW74" s="23">
        <f t="shared" si="38"/>
        <v>32850900.000000004</v>
      </c>
      <c r="AX74" s="23">
        <f t="shared" si="46"/>
        <v>0</v>
      </c>
      <c r="AY74" s="8">
        <f t="shared" si="39"/>
        <v>0</v>
      </c>
      <c r="AZ74" s="23"/>
      <c r="BA74">
        <f t="shared" si="40"/>
        <v>69</v>
      </c>
      <c r="BB74" s="18">
        <f t="shared" si="33"/>
        <v>0</v>
      </c>
      <c r="BC74">
        <f t="shared" si="41"/>
        <v>0</v>
      </c>
      <c r="BD74">
        <f t="shared" si="34"/>
        <v>0</v>
      </c>
      <c r="BF74">
        <f t="shared" si="42"/>
        <v>69</v>
      </c>
      <c r="BG74" s="18">
        <f t="shared" si="43"/>
        <v>0</v>
      </c>
      <c r="BH74">
        <f t="shared" si="44"/>
        <v>0</v>
      </c>
    </row>
    <row r="75" spans="1:60" x14ac:dyDescent="0.3">
      <c r="A75">
        <v>70</v>
      </c>
      <c r="B75" s="18">
        <v>0</v>
      </c>
      <c r="C75" s="18">
        <v>0</v>
      </c>
      <c r="D75" s="18">
        <v>0</v>
      </c>
      <c r="E75" s="18">
        <v>0</v>
      </c>
      <c r="F75" s="18">
        <v>0</v>
      </c>
      <c r="G75" s="18">
        <v>0</v>
      </c>
      <c r="H75" s="18">
        <v>0</v>
      </c>
      <c r="I75" s="18">
        <v>0</v>
      </c>
      <c r="J75" s="18">
        <v>0</v>
      </c>
      <c r="K75" s="18">
        <v>0</v>
      </c>
      <c r="L75" s="18">
        <v>0</v>
      </c>
      <c r="M75" s="18">
        <v>0</v>
      </c>
      <c r="N75" s="18">
        <v>0</v>
      </c>
      <c r="O75" s="18">
        <v>0</v>
      </c>
      <c r="P75" s="18">
        <v>0</v>
      </c>
      <c r="Q75" s="18">
        <v>0</v>
      </c>
      <c r="R75" s="18">
        <v>0</v>
      </c>
      <c r="S75" s="18">
        <v>0</v>
      </c>
      <c r="T75" s="18">
        <v>0</v>
      </c>
      <c r="U75" s="18">
        <v>0</v>
      </c>
      <c r="V75" s="18">
        <v>0</v>
      </c>
      <c r="W75" s="18">
        <v>0</v>
      </c>
      <c r="X75" s="18">
        <v>0</v>
      </c>
      <c r="Y75" s="18">
        <v>0</v>
      </c>
      <c r="Z75" s="18">
        <v>0</v>
      </c>
      <c r="AA75" s="18">
        <v>0</v>
      </c>
      <c r="AB75" s="18">
        <v>0</v>
      </c>
      <c r="AC75" s="18">
        <v>0</v>
      </c>
      <c r="AD75" s="18">
        <v>0</v>
      </c>
      <c r="AE75" s="18">
        <v>0</v>
      </c>
      <c r="AF75" s="18">
        <v>0</v>
      </c>
      <c r="AG75" s="18"/>
      <c r="AH75" s="18">
        <f t="shared" si="23"/>
        <v>0</v>
      </c>
      <c r="AI75" s="18">
        <v>0</v>
      </c>
      <c r="AJ75" s="18">
        <f t="shared" si="30"/>
        <v>0</v>
      </c>
      <c r="AK75" s="18">
        <v>0</v>
      </c>
      <c r="AL75" s="18"/>
      <c r="AM75" s="18">
        <f t="shared" si="45"/>
        <v>0</v>
      </c>
      <c r="AN75" s="8">
        <f t="shared" si="31"/>
        <v>0</v>
      </c>
      <c r="AO75" s="18"/>
      <c r="AP75" s="7">
        <f t="shared" si="35"/>
        <v>503999.99999999994</v>
      </c>
      <c r="AQ75" s="8">
        <f t="shared" si="36"/>
        <v>0</v>
      </c>
      <c r="AR75" s="8">
        <f t="shared" si="37"/>
        <v>0</v>
      </c>
      <c r="AS75" s="23"/>
      <c r="AT75" s="18">
        <f t="shared" si="29"/>
        <v>0</v>
      </c>
      <c r="AU75" s="8">
        <f t="shared" si="32"/>
        <v>0</v>
      </c>
      <c r="AV75" s="18"/>
      <c r="AW75" s="23">
        <f t="shared" si="38"/>
        <v>33327000.000000004</v>
      </c>
      <c r="AX75" s="23">
        <f t="shared" si="46"/>
        <v>0</v>
      </c>
      <c r="AY75" s="8">
        <f t="shared" si="39"/>
        <v>0</v>
      </c>
      <c r="AZ75" s="23"/>
      <c r="BA75">
        <f t="shared" si="40"/>
        <v>70</v>
      </c>
      <c r="BB75" s="18">
        <f t="shared" si="33"/>
        <v>0</v>
      </c>
      <c r="BC75">
        <f t="shared" si="41"/>
        <v>0</v>
      </c>
      <c r="BD75">
        <f t="shared" si="34"/>
        <v>0</v>
      </c>
      <c r="BF75">
        <f t="shared" si="42"/>
        <v>70</v>
      </c>
      <c r="BG75" s="18">
        <f t="shared" si="43"/>
        <v>0</v>
      </c>
      <c r="BH75">
        <f t="shared" si="44"/>
        <v>0</v>
      </c>
    </row>
    <row r="76" spans="1:60" x14ac:dyDescent="0.3">
      <c r="A76">
        <v>71</v>
      </c>
      <c r="B76" s="18">
        <v>0</v>
      </c>
      <c r="C76" s="18">
        <v>0</v>
      </c>
      <c r="D76" s="18">
        <v>0</v>
      </c>
      <c r="E76" s="18">
        <v>0</v>
      </c>
      <c r="F76" s="18">
        <v>0</v>
      </c>
      <c r="G76" s="18">
        <v>0</v>
      </c>
      <c r="H76" s="18">
        <v>0</v>
      </c>
      <c r="I76" s="18">
        <v>0</v>
      </c>
      <c r="J76" s="18">
        <v>0</v>
      </c>
      <c r="K76" s="18">
        <v>0</v>
      </c>
      <c r="L76" s="18">
        <v>0</v>
      </c>
      <c r="M76" s="18">
        <v>0</v>
      </c>
      <c r="N76" s="18">
        <v>0</v>
      </c>
      <c r="O76" s="18">
        <v>0</v>
      </c>
      <c r="P76" s="18">
        <v>0</v>
      </c>
      <c r="Q76" s="18">
        <v>0</v>
      </c>
      <c r="R76" s="18">
        <v>0</v>
      </c>
      <c r="S76" s="18">
        <v>0</v>
      </c>
      <c r="T76" s="18">
        <v>0</v>
      </c>
      <c r="U76" s="18">
        <v>0</v>
      </c>
      <c r="V76" s="18">
        <v>0</v>
      </c>
      <c r="W76" s="18">
        <v>0</v>
      </c>
      <c r="X76" s="18">
        <v>0</v>
      </c>
      <c r="Y76" s="18">
        <v>0</v>
      </c>
      <c r="Z76" s="18">
        <v>0</v>
      </c>
      <c r="AA76" s="18">
        <v>0</v>
      </c>
      <c r="AB76" s="18">
        <v>0</v>
      </c>
      <c r="AC76" s="18">
        <v>0</v>
      </c>
      <c r="AD76" s="18">
        <v>0</v>
      </c>
      <c r="AE76" s="18">
        <v>0</v>
      </c>
      <c r="AF76" s="18">
        <v>0</v>
      </c>
      <c r="AG76" s="18"/>
      <c r="AH76" s="18">
        <f t="shared" si="23"/>
        <v>0</v>
      </c>
      <c r="AI76" s="18">
        <v>0</v>
      </c>
      <c r="AJ76" s="18">
        <f t="shared" si="30"/>
        <v>0</v>
      </c>
      <c r="AK76" s="18">
        <v>0</v>
      </c>
      <c r="AL76" s="18"/>
      <c r="AM76" s="18">
        <f t="shared" si="45"/>
        <v>0</v>
      </c>
      <c r="AN76" s="8">
        <f t="shared" si="31"/>
        <v>0</v>
      </c>
      <c r="AO76" s="18"/>
      <c r="AP76" s="7">
        <f t="shared" si="35"/>
        <v>511199.99999999994</v>
      </c>
      <c r="AQ76" s="8">
        <f t="shared" si="36"/>
        <v>0</v>
      </c>
      <c r="AR76" s="8">
        <f t="shared" si="37"/>
        <v>0</v>
      </c>
      <c r="AS76" s="23"/>
      <c r="AT76" s="18">
        <f t="shared" si="29"/>
        <v>0</v>
      </c>
      <c r="AU76" s="8">
        <f t="shared" si="32"/>
        <v>0</v>
      </c>
      <c r="AV76" s="18"/>
      <c r="AW76" s="23">
        <f t="shared" si="38"/>
        <v>33803100.000000007</v>
      </c>
      <c r="AX76" s="23">
        <f t="shared" si="46"/>
        <v>0</v>
      </c>
      <c r="AY76" s="8">
        <f t="shared" si="39"/>
        <v>0</v>
      </c>
      <c r="AZ76" s="23"/>
      <c r="BA76">
        <f t="shared" si="40"/>
        <v>71</v>
      </c>
      <c r="BB76" s="18">
        <f t="shared" si="33"/>
        <v>0</v>
      </c>
      <c r="BC76">
        <f t="shared" si="41"/>
        <v>0</v>
      </c>
      <c r="BD76">
        <f t="shared" si="34"/>
        <v>0</v>
      </c>
      <c r="BF76">
        <f t="shared" si="42"/>
        <v>71</v>
      </c>
      <c r="BG76" s="18">
        <f t="shared" si="43"/>
        <v>0</v>
      </c>
      <c r="BH76">
        <f t="shared" si="44"/>
        <v>0</v>
      </c>
    </row>
    <row r="77" spans="1:60" x14ac:dyDescent="0.3">
      <c r="A77">
        <v>72</v>
      </c>
      <c r="B77" s="18">
        <v>0</v>
      </c>
      <c r="C77" s="18">
        <v>0</v>
      </c>
      <c r="D77" s="18">
        <v>0</v>
      </c>
      <c r="E77" s="18">
        <v>0</v>
      </c>
      <c r="F77" s="18">
        <v>0</v>
      </c>
      <c r="G77" s="18">
        <v>0</v>
      </c>
      <c r="H77" s="18">
        <v>0</v>
      </c>
      <c r="I77" s="18">
        <v>0</v>
      </c>
      <c r="J77" s="18">
        <v>0</v>
      </c>
      <c r="K77" s="18">
        <v>0</v>
      </c>
      <c r="L77" s="18">
        <v>0</v>
      </c>
      <c r="M77" s="18">
        <v>0</v>
      </c>
      <c r="N77" s="18">
        <v>0</v>
      </c>
      <c r="O77" s="18">
        <v>0</v>
      </c>
      <c r="P77" s="18">
        <v>0</v>
      </c>
      <c r="Q77" s="18">
        <v>0</v>
      </c>
      <c r="R77" s="18">
        <v>0</v>
      </c>
      <c r="S77" s="18">
        <v>0</v>
      </c>
      <c r="T77" s="18">
        <v>0</v>
      </c>
      <c r="U77" s="18">
        <v>0</v>
      </c>
      <c r="V77" s="18">
        <v>0</v>
      </c>
      <c r="W77" s="18">
        <v>0</v>
      </c>
      <c r="X77" s="18">
        <v>0</v>
      </c>
      <c r="Y77" s="18">
        <v>0</v>
      </c>
      <c r="Z77" s="18">
        <v>0</v>
      </c>
      <c r="AA77" s="18">
        <v>0</v>
      </c>
      <c r="AB77" s="18">
        <v>0</v>
      </c>
      <c r="AC77" s="18">
        <v>0</v>
      </c>
      <c r="AD77" s="18">
        <v>0</v>
      </c>
      <c r="AE77" s="18">
        <v>0</v>
      </c>
      <c r="AF77" s="18">
        <v>0</v>
      </c>
      <c r="AH77" s="18">
        <f t="shared" si="23"/>
        <v>0</v>
      </c>
      <c r="AI77" s="18">
        <v>0</v>
      </c>
      <c r="AJ77" s="18">
        <f>SUM(AH77:AI77)</f>
        <v>0</v>
      </c>
      <c r="AK77" s="18">
        <v>0</v>
      </c>
      <c r="AL77" s="18"/>
      <c r="AM77" s="18">
        <f t="shared" si="45"/>
        <v>0</v>
      </c>
      <c r="AN77" s="8">
        <f t="shared" si="31"/>
        <v>0</v>
      </c>
      <c r="AO77" s="18"/>
      <c r="AP77" s="7">
        <f t="shared" si="35"/>
        <v>518399.99999999994</v>
      </c>
      <c r="AQ77" s="8">
        <f t="shared" si="36"/>
        <v>0</v>
      </c>
      <c r="AR77" s="8">
        <f t="shared" si="37"/>
        <v>0</v>
      </c>
      <c r="AS77" s="23"/>
      <c r="AT77" s="497">
        <f>AT114*AM77/AT$3</f>
        <v>0</v>
      </c>
      <c r="AU77" s="8">
        <f t="shared" si="32"/>
        <v>0</v>
      </c>
      <c r="AV77" s="18"/>
      <c r="AW77" s="23">
        <f t="shared" si="38"/>
        <v>34279200.000000007</v>
      </c>
      <c r="AX77" s="23">
        <f t="shared" si="46"/>
        <v>0</v>
      </c>
      <c r="AY77" s="8">
        <f t="shared" si="39"/>
        <v>0</v>
      </c>
      <c r="AZ77" s="23"/>
      <c r="BA77">
        <f t="shared" si="40"/>
        <v>72</v>
      </c>
      <c r="BB77" s="18">
        <f t="shared" si="33"/>
        <v>0</v>
      </c>
      <c r="BC77">
        <f t="shared" si="41"/>
        <v>0</v>
      </c>
      <c r="BD77">
        <f t="shared" si="34"/>
        <v>0</v>
      </c>
      <c r="BF77">
        <f t="shared" si="42"/>
        <v>72</v>
      </c>
      <c r="BG77" s="18">
        <f t="shared" si="43"/>
        <v>0</v>
      </c>
      <c r="BH77">
        <f t="shared" si="44"/>
        <v>0</v>
      </c>
    </row>
    <row r="78" spans="1:60" x14ac:dyDescent="0.3">
      <c r="A78">
        <v>73</v>
      </c>
      <c r="B78" s="18">
        <v>0</v>
      </c>
      <c r="C78" s="18">
        <v>0</v>
      </c>
      <c r="D78" s="18">
        <v>0</v>
      </c>
      <c r="E78" s="18">
        <v>0</v>
      </c>
      <c r="F78" s="18">
        <v>0</v>
      </c>
      <c r="G78" s="18">
        <v>0</v>
      </c>
      <c r="H78" s="18">
        <v>0</v>
      </c>
      <c r="I78" s="18">
        <v>0</v>
      </c>
      <c r="J78" s="18">
        <v>0</v>
      </c>
      <c r="K78" s="18">
        <v>0</v>
      </c>
      <c r="L78" s="18">
        <v>0</v>
      </c>
      <c r="M78" s="18">
        <v>0</v>
      </c>
      <c r="N78" s="18">
        <v>0</v>
      </c>
      <c r="O78" s="18">
        <v>0</v>
      </c>
      <c r="P78" s="18">
        <v>0</v>
      </c>
      <c r="Q78" s="18">
        <v>0</v>
      </c>
      <c r="R78" s="18">
        <v>0</v>
      </c>
      <c r="S78" s="18">
        <v>0</v>
      </c>
      <c r="T78" s="18">
        <v>0</v>
      </c>
      <c r="U78" s="18">
        <v>0</v>
      </c>
      <c r="V78" s="18">
        <v>0</v>
      </c>
      <c r="W78" s="18">
        <v>0</v>
      </c>
      <c r="X78" s="18">
        <v>0</v>
      </c>
      <c r="Y78" s="18">
        <v>0</v>
      </c>
      <c r="Z78" s="18">
        <v>0</v>
      </c>
      <c r="AA78" s="18">
        <v>0</v>
      </c>
      <c r="AB78" s="18">
        <v>0</v>
      </c>
      <c r="AC78" s="18">
        <v>0</v>
      </c>
      <c r="AD78" s="18">
        <v>0</v>
      </c>
      <c r="AE78" s="18">
        <v>0</v>
      </c>
      <c r="AF78" s="18">
        <v>0</v>
      </c>
      <c r="AG78" s="18"/>
      <c r="AH78" s="18">
        <f t="shared" ref="AH78:AH105" si="47">SQRT(SUMSQ(B78:AF78))</f>
        <v>0</v>
      </c>
      <c r="AI78" s="18">
        <v>0</v>
      </c>
      <c r="AJ78" s="18">
        <f t="shared" si="30"/>
        <v>0</v>
      </c>
      <c r="AK78" s="18">
        <v>0</v>
      </c>
      <c r="AL78" s="18"/>
      <c r="AM78" s="18">
        <f t="shared" si="45"/>
        <v>0</v>
      </c>
      <c r="AN78" s="8">
        <f t="shared" si="31"/>
        <v>0</v>
      </c>
      <c r="AO78" s="18"/>
      <c r="AP78" s="7">
        <f t="shared" si="35"/>
        <v>525599.99999999988</v>
      </c>
      <c r="AQ78" s="8">
        <f t="shared" si="36"/>
        <v>0</v>
      </c>
      <c r="AR78" s="8">
        <f t="shared" si="37"/>
        <v>0</v>
      </c>
      <c r="AS78" s="23"/>
      <c r="AT78" s="18">
        <f t="shared" si="29"/>
        <v>0</v>
      </c>
      <c r="AU78" s="8">
        <f t="shared" si="32"/>
        <v>0</v>
      </c>
      <c r="AV78" s="18"/>
      <c r="AW78" s="23">
        <f t="shared" si="38"/>
        <v>34755300.000000007</v>
      </c>
      <c r="AX78" s="23">
        <f t="shared" si="46"/>
        <v>0</v>
      </c>
      <c r="AY78" s="8">
        <f t="shared" si="39"/>
        <v>0</v>
      </c>
      <c r="AZ78" s="23"/>
      <c r="BA78">
        <f t="shared" si="40"/>
        <v>73</v>
      </c>
      <c r="BB78" s="18">
        <f t="shared" si="33"/>
        <v>0</v>
      </c>
      <c r="BC78">
        <f t="shared" si="41"/>
        <v>0</v>
      </c>
      <c r="BD78">
        <f t="shared" si="34"/>
        <v>0</v>
      </c>
      <c r="BF78">
        <f t="shared" si="42"/>
        <v>73</v>
      </c>
      <c r="BG78" s="18">
        <f t="shared" si="43"/>
        <v>0</v>
      </c>
      <c r="BH78">
        <f t="shared" si="44"/>
        <v>0</v>
      </c>
    </row>
    <row r="79" spans="1:60" x14ac:dyDescent="0.3">
      <c r="A79">
        <v>74</v>
      </c>
      <c r="B79" s="18">
        <v>0</v>
      </c>
      <c r="C79" s="18">
        <v>0</v>
      </c>
      <c r="D79" s="18">
        <v>0</v>
      </c>
      <c r="E79" s="18">
        <v>0</v>
      </c>
      <c r="F79" s="18">
        <v>0</v>
      </c>
      <c r="G79" s="18">
        <v>0</v>
      </c>
      <c r="H79" s="18">
        <v>0</v>
      </c>
      <c r="I79" s="18">
        <v>0</v>
      </c>
      <c r="J79" s="18">
        <v>0</v>
      </c>
      <c r="K79" s="18">
        <v>0</v>
      </c>
      <c r="L79" s="18">
        <v>0</v>
      </c>
      <c r="M79" s="18">
        <v>0</v>
      </c>
      <c r="N79" s="18">
        <v>0</v>
      </c>
      <c r="O79" s="18">
        <v>0</v>
      </c>
      <c r="P79" s="18">
        <v>0</v>
      </c>
      <c r="Q79" s="18">
        <v>0</v>
      </c>
      <c r="R79" s="18">
        <v>0</v>
      </c>
      <c r="S79" s="18">
        <v>0</v>
      </c>
      <c r="T79" s="18">
        <v>0</v>
      </c>
      <c r="U79" s="18">
        <v>0</v>
      </c>
      <c r="V79" s="18">
        <v>0</v>
      </c>
      <c r="W79" s="18">
        <v>0</v>
      </c>
      <c r="X79" s="18">
        <v>0</v>
      </c>
      <c r="Y79" s="18">
        <v>0</v>
      </c>
      <c r="Z79" s="18">
        <v>0</v>
      </c>
      <c r="AA79" s="18">
        <v>0</v>
      </c>
      <c r="AB79" s="18">
        <v>0</v>
      </c>
      <c r="AC79" s="18">
        <v>0</v>
      </c>
      <c r="AD79" s="18">
        <v>0</v>
      </c>
      <c r="AE79" s="18">
        <v>0</v>
      </c>
      <c r="AF79" s="18">
        <v>0</v>
      </c>
      <c r="AG79" s="18"/>
      <c r="AH79" s="18">
        <f t="shared" si="47"/>
        <v>0</v>
      </c>
      <c r="AI79" s="18">
        <v>0</v>
      </c>
      <c r="AJ79" s="18">
        <f t="shared" si="30"/>
        <v>0</v>
      </c>
      <c r="AK79" s="18">
        <v>0</v>
      </c>
      <c r="AL79" s="18"/>
      <c r="AM79" s="18">
        <f t="shared" si="45"/>
        <v>0</v>
      </c>
      <c r="AN79" s="8">
        <f t="shared" si="31"/>
        <v>0</v>
      </c>
      <c r="AO79" s="18"/>
      <c r="AP79" s="7">
        <f t="shared" si="35"/>
        <v>532799.99999999988</v>
      </c>
      <c r="AQ79" s="8">
        <f t="shared" si="36"/>
        <v>0</v>
      </c>
      <c r="AR79" s="8">
        <f t="shared" si="37"/>
        <v>0</v>
      </c>
      <c r="AS79" s="23"/>
      <c r="AT79" s="18">
        <f t="shared" si="29"/>
        <v>0</v>
      </c>
      <c r="AU79" s="8">
        <f t="shared" si="32"/>
        <v>0</v>
      </c>
      <c r="AV79" s="18"/>
      <c r="AW79" s="23">
        <f t="shared" si="38"/>
        <v>35231400.000000007</v>
      </c>
      <c r="AX79" s="23">
        <f t="shared" si="46"/>
        <v>0</v>
      </c>
      <c r="AY79" s="8">
        <f t="shared" si="39"/>
        <v>0</v>
      </c>
      <c r="AZ79" s="23"/>
      <c r="BA79">
        <f t="shared" si="40"/>
        <v>74</v>
      </c>
      <c r="BB79" s="18">
        <f t="shared" si="33"/>
        <v>0</v>
      </c>
      <c r="BC79">
        <f t="shared" si="41"/>
        <v>0</v>
      </c>
      <c r="BD79">
        <f t="shared" si="34"/>
        <v>0</v>
      </c>
      <c r="BF79">
        <f t="shared" si="42"/>
        <v>74</v>
      </c>
      <c r="BG79" s="18">
        <f t="shared" si="43"/>
        <v>0</v>
      </c>
      <c r="BH79">
        <f t="shared" si="44"/>
        <v>0</v>
      </c>
    </row>
    <row r="80" spans="1:60" x14ac:dyDescent="0.3">
      <c r="A80">
        <v>75</v>
      </c>
      <c r="B80" s="18">
        <v>0</v>
      </c>
      <c r="C80" s="18">
        <v>0</v>
      </c>
      <c r="D80" s="18">
        <v>0</v>
      </c>
      <c r="E80" s="18">
        <v>0</v>
      </c>
      <c r="F80" s="18">
        <v>0</v>
      </c>
      <c r="G80" s="18">
        <v>0</v>
      </c>
      <c r="H80" s="18">
        <v>0</v>
      </c>
      <c r="I80" s="18">
        <v>0</v>
      </c>
      <c r="J80" s="18">
        <v>0</v>
      </c>
      <c r="K80" s="18">
        <v>0</v>
      </c>
      <c r="L80" s="18">
        <v>0</v>
      </c>
      <c r="M80" s="18">
        <v>0</v>
      </c>
      <c r="N80" s="18">
        <v>0</v>
      </c>
      <c r="O80" s="18">
        <v>0</v>
      </c>
      <c r="P80" s="18">
        <v>0</v>
      </c>
      <c r="Q80" s="18">
        <v>0</v>
      </c>
      <c r="R80" s="18">
        <v>0</v>
      </c>
      <c r="S80" s="18">
        <v>0</v>
      </c>
      <c r="T80" s="18">
        <v>0</v>
      </c>
      <c r="U80" s="18">
        <v>0</v>
      </c>
      <c r="V80" s="18">
        <v>0</v>
      </c>
      <c r="W80" s="18">
        <v>0</v>
      </c>
      <c r="X80" s="18">
        <v>0</v>
      </c>
      <c r="Y80" s="18">
        <v>0</v>
      </c>
      <c r="Z80" s="18">
        <v>0</v>
      </c>
      <c r="AA80" s="18">
        <v>0</v>
      </c>
      <c r="AB80" s="18">
        <v>0</v>
      </c>
      <c r="AC80" s="18">
        <v>0</v>
      </c>
      <c r="AD80" s="18">
        <v>0</v>
      </c>
      <c r="AE80" s="18">
        <v>0</v>
      </c>
      <c r="AF80" s="18">
        <v>0</v>
      </c>
      <c r="AH80" s="18">
        <f t="shared" si="47"/>
        <v>0</v>
      </c>
      <c r="AI80" s="18">
        <v>0</v>
      </c>
      <c r="AJ80" s="18">
        <f>SUM(AH80:AI80)</f>
        <v>0</v>
      </c>
      <c r="AK80" s="18">
        <v>0</v>
      </c>
      <c r="AL80" s="18"/>
      <c r="AM80" s="18">
        <f t="shared" si="45"/>
        <v>0</v>
      </c>
      <c r="AN80" s="8">
        <f t="shared" si="31"/>
        <v>0</v>
      </c>
      <c r="AO80" s="18"/>
      <c r="AP80" s="7">
        <f t="shared" si="35"/>
        <v>539999.99999999988</v>
      </c>
      <c r="AQ80" s="8">
        <f t="shared" si="36"/>
        <v>0</v>
      </c>
      <c r="AR80" s="8">
        <f t="shared" si="37"/>
        <v>0</v>
      </c>
      <c r="AS80" s="23"/>
      <c r="AT80" s="497">
        <f>AT114*AM80/AT$3</f>
        <v>0</v>
      </c>
      <c r="AU80" s="8">
        <f t="shared" si="32"/>
        <v>0</v>
      </c>
      <c r="AV80" s="18"/>
      <c r="AW80" s="23">
        <f t="shared" si="38"/>
        <v>35707500.000000007</v>
      </c>
      <c r="AX80" s="23">
        <f t="shared" si="46"/>
        <v>0</v>
      </c>
      <c r="AY80" s="8">
        <f t="shared" si="39"/>
        <v>0</v>
      </c>
      <c r="AZ80" s="23"/>
      <c r="BA80">
        <f t="shared" si="40"/>
        <v>75</v>
      </c>
      <c r="BB80" s="18">
        <f t="shared" si="33"/>
        <v>0</v>
      </c>
      <c r="BC80">
        <f t="shared" si="41"/>
        <v>0</v>
      </c>
      <c r="BD80">
        <f t="shared" si="34"/>
        <v>0</v>
      </c>
      <c r="BF80">
        <f t="shared" si="42"/>
        <v>75</v>
      </c>
      <c r="BG80" s="18">
        <f t="shared" si="43"/>
        <v>0</v>
      </c>
      <c r="BH80">
        <f t="shared" si="44"/>
        <v>0</v>
      </c>
    </row>
    <row r="81" spans="1:60" x14ac:dyDescent="0.3">
      <c r="A81">
        <v>76</v>
      </c>
      <c r="B81" s="18">
        <v>0</v>
      </c>
      <c r="C81" s="18">
        <v>0</v>
      </c>
      <c r="D81" s="18">
        <v>0</v>
      </c>
      <c r="E81" s="18">
        <v>0</v>
      </c>
      <c r="F81" s="18">
        <v>0</v>
      </c>
      <c r="G81" s="18">
        <v>0</v>
      </c>
      <c r="H81" s="18">
        <v>0</v>
      </c>
      <c r="I81" s="18">
        <v>0</v>
      </c>
      <c r="J81" s="18">
        <v>0</v>
      </c>
      <c r="K81" s="18">
        <v>0</v>
      </c>
      <c r="L81" s="18">
        <v>0</v>
      </c>
      <c r="M81" s="18">
        <v>0</v>
      </c>
      <c r="N81" s="18">
        <v>0</v>
      </c>
      <c r="O81" s="18">
        <v>0</v>
      </c>
      <c r="P81" s="18">
        <v>0</v>
      </c>
      <c r="Q81" s="18">
        <v>0</v>
      </c>
      <c r="R81" s="18">
        <v>0</v>
      </c>
      <c r="S81" s="18">
        <v>0</v>
      </c>
      <c r="T81" s="18">
        <v>0</v>
      </c>
      <c r="U81" s="18">
        <v>0</v>
      </c>
      <c r="V81" s="18">
        <v>0</v>
      </c>
      <c r="W81" s="18">
        <v>0</v>
      </c>
      <c r="X81" s="18">
        <v>0</v>
      </c>
      <c r="Y81" s="18">
        <v>0</v>
      </c>
      <c r="Z81" s="18">
        <v>0</v>
      </c>
      <c r="AA81" s="18">
        <v>0</v>
      </c>
      <c r="AB81" s="18">
        <v>0</v>
      </c>
      <c r="AC81" s="18">
        <v>0</v>
      </c>
      <c r="AD81" s="18">
        <v>0</v>
      </c>
      <c r="AE81" s="18">
        <v>0</v>
      </c>
      <c r="AF81" s="18">
        <v>0</v>
      </c>
      <c r="AG81" s="18"/>
      <c r="AH81" s="18">
        <f t="shared" si="47"/>
        <v>0</v>
      </c>
      <c r="AI81" s="18">
        <v>0</v>
      </c>
      <c r="AJ81" s="18">
        <f t="shared" si="30"/>
        <v>0</v>
      </c>
      <c r="AK81" s="18">
        <v>0</v>
      </c>
      <c r="AL81" s="18"/>
      <c r="AM81" s="18">
        <f t="shared" si="45"/>
        <v>0</v>
      </c>
      <c r="AN81" s="8">
        <f t="shared" si="31"/>
        <v>0</v>
      </c>
      <c r="AO81" s="18"/>
      <c r="AP81" s="7">
        <f t="shared" si="35"/>
        <v>547199.99999999988</v>
      </c>
      <c r="AQ81" s="8">
        <f t="shared" si="36"/>
        <v>0</v>
      </c>
      <c r="AR81" s="8">
        <f t="shared" si="37"/>
        <v>0</v>
      </c>
      <c r="AS81" s="23"/>
      <c r="AT81" s="18">
        <f t="shared" si="29"/>
        <v>0</v>
      </c>
      <c r="AU81" s="8">
        <f t="shared" si="32"/>
        <v>0</v>
      </c>
      <c r="AV81" s="18"/>
      <c r="AW81" s="23">
        <f t="shared" si="38"/>
        <v>36183600.000000007</v>
      </c>
      <c r="AX81" s="23">
        <f t="shared" si="46"/>
        <v>0</v>
      </c>
      <c r="AY81" s="8">
        <f t="shared" si="39"/>
        <v>0</v>
      </c>
      <c r="AZ81" s="23"/>
      <c r="BA81">
        <f t="shared" si="40"/>
        <v>76</v>
      </c>
      <c r="BB81" s="18">
        <f t="shared" si="33"/>
        <v>0</v>
      </c>
      <c r="BC81">
        <f t="shared" si="41"/>
        <v>0</v>
      </c>
      <c r="BD81">
        <f t="shared" si="34"/>
        <v>0</v>
      </c>
      <c r="BF81">
        <f t="shared" si="42"/>
        <v>76</v>
      </c>
      <c r="BG81" s="18">
        <f t="shared" si="43"/>
        <v>0</v>
      </c>
      <c r="BH81">
        <f t="shared" si="44"/>
        <v>0</v>
      </c>
    </row>
    <row r="82" spans="1:60" x14ac:dyDescent="0.3">
      <c r="A82">
        <v>77</v>
      </c>
      <c r="B82" s="18">
        <v>0</v>
      </c>
      <c r="C82" s="18">
        <v>0</v>
      </c>
      <c r="D82" s="18">
        <v>0</v>
      </c>
      <c r="E82" s="18">
        <v>0</v>
      </c>
      <c r="F82" s="18">
        <v>0</v>
      </c>
      <c r="G82" s="18">
        <v>0</v>
      </c>
      <c r="H82" s="18">
        <v>0</v>
      </c>
      <c r="I82" s="18">
        <v>0</v>
      </c>
      <c r="J82" s="18">
        <v>0</v>
      </c>
      <c r="K82" s="18">
        <v>0</v>
      </c>
      <c r="L82" s="18">
        <v>0</v>
      </c>
      <c r="M82" s="18">
        <v>0</v>
      </c>
      <c r="N82" s="18">
        <v>0</v>
      </c>
      <c r="O82" s="18">
        <v>0</v>
      </c>
      <c r="P82" s="18">
        <v>0</v>
      </c>
      <c r="Q82" s="18">
        <v>0</v>
      </c>
      <c r="R82" s="18">
        <v>0</v>
      </c>
      <c r="S82" s="18">
        <v>0</v>
      </c>
      <c r="T82" s="18">
        <v>0</v>
      </c>
      <c r="U82" s="18">
        <v>0</v>
      </c>
      <c r="V82" s="18">
        <v>0</v>
      </c>
      <c r="W82" s="18">
        <v>0</v>
      </c>
      <c r="X82" s="18">
        <v>0</v>
      </c>
      <c r="Y82" s="18">
        <v>0</v>
      </c>
      <c r="Z82" s="18">
        <v>0</v>
      </c>
      <c r="AA82" s="18">
        <v>0</v>
      </c>
      <c r="AB82" s="18">
        <v>0</v>
      </c>
      <c r="AC82" s="18">
        <v>0</v>
      </c>
      <c r="AD82" s="18">
        <v>0</v>
      </c>
      <c r="AE82" s="18">
        <v>0</v>
      </c>
      <c r="AF82" s="18">
        <v>0</v>
      </c>
      <c r="AG82" s="18"/>
      <c r="AH82" s="18">
        <f t="shared" si="47"/>
        <v>0</v>
      </c>
      <c r="AI82" s="18">
        <v>0</v>
      </c>
      <c r="AJ82" s="18">
        <f t="shared" si="30"/>
        <v>0</v>
      </c>
      <c r="AK82" s="18">
        <v>0</v>
      </c>
      <c r="AL82" s="18"/>
      <c r="AM82" s="18">
        <f t="shared" si="45"/>
        <v>0</v>
      </c>
      <c r="AN82" s="8">
        <f t="shared" si="31"/>
        <v>0</v>
      </c>
      <c r="AO82" s="18"/>
      <c r="AP82" s="7">
        <f t="shared" si="35"/>
        <v>554399.99999999988</v>
      </c>
      <c r="AQ82" s="8">
        <f t="shared" si="36"/>
        <v>0</v>
      </c>
      <c r="AR82" s="8">
        <f t="shared" si="37"/>
        <v>0</v>
      </c>
      <c r="AS82" s="23"/>
      <c r="AT82" s="18">
        <f t="shared" si="29"/>
        <v>0</v>
      </c>
      <c r="AU82" s="8">
        <f t="shared" si="32"/>
        <v>0</v>
      </c>
      <c r="AV82" s="18"/>
      <c r="AW82" s="23">
        <f t="shared" si="38"/>
        <v>36659700.000000007</v>
      </c>
      <c r="AX82" s="23">
        <f t="shared" si="46"/>
        <v>0</v>
      </c>
      <c r="AY82" s="8">
        <f t="shared" si="39"/>
        <v>0</v>
      </c>
      <c r="AZ82" s="23"/>
      <c r="BA82">
        <f t="shared" si="40"/>
        <v>77</v>
      </c>
      <c r="BB82" s="18">
        <f t="shared" si="33"/>
        <v>0</v>
      </c>
      <c r="BC82">
        <f t="shared" si="41"/>
        <v>0</v>
      </c>
      <c r="BD82">
        <f t="shared" si="34"/>
        <v>0</v>
      </c>
      <c r="BF82">
        <f t="shared" si="42"/>
        <v>77</v>
      </c>
      <c r="BG82" s="18">
        <f t="shared" si="43"/>
        <v>0</v>
      </c>
      <c r="BH82">
        <f t="shared" si="44"/>
        <v>0</v>
      </c>
    </row>
    <row r="83" spans="1:60" x14ac:dyDescent="0.3">
      <c r="A83">
        <v>78</v>
      </c>
      <c r="B83" s="18">
        <v>0</v>
      </c>
      <c r="C83" s="18">
        <v>0</v>
      </c>
      <c r="D83" s="18">
        <v>0</v>
      </c>
      <c r="E83" s="18">
        <v>0</v>
      </c>
      <c r="F83" s="18">
        <v>0</v>
      </c>
      <c r="G83" s="18">
        <v>0</v>
      </c>
      <c r="H83" s="18">
        <v>0</v>
      </c>
      <c r="I83" s="18">
        <v>0</v>
      </c>
      <c r="J83" s="18">
        <v>0</v>
      </c>
      <c r="K83" s="18">
        <v>0</v>
      </c>
      <c r="L83" s="18">
        <v>0</v>
      </c>
      <c r="M83" s="18">
        <v>0</v>
      </c>
      <c r="N83" s="18">
        <v>0</v>
      </c>
      <c r="O83" s="18">
        <v>0</v>
      </c>
      <c r="P83" s="18">
        <v>0</v>
      </c>
      <c r="Q83" s="18">
        <v>0</v>
      </c>
      <c r="R83" s="18">
        <v>0</v>
      </c>
      <c r="S83" s="18">
        <v>0</v>
      </c>
      <c r="T83" s="18">
        <v>0</v>
      </c>
      <c r="U83" s="18">
        <v>0</v>
      </c>
      <c r="V83" s="18">
        <v>0</v>
      </c>
      <c r="W83" s="18">
        <v>0</v>
      </c>
      <c r="X83" s="18">
        <v>0</v>
      </c>
      <c r="Y83" s="18">
        <v>0</v>
      </c>
      <c r="Z83" s="18">
        <v>0</v>
      </c>
      <c r="AA83" s="18">
        <v>0</v>
      </c>
      <c r="AB83" s="18">
        <v>0</v>
      </c>
      <c r="AC83" s="18">
        <v>0</v>
      </c>
      <c r="AD83" s="18">
        <v>0</v>
      </c>
      <c r="AE83" s="18">
        <v>0</v>
      </c>
      <c r="AF83" s="18">
        <v>0</v>
      </c>
      <c r="AH83" s="18">
        <f t="shared" si="47"/>
        <v>0</v>
      </c>
      <c r="AI83" s="18">
        <v>0</v>
      </c>
      <c r="AJ83" s="18">
        <f>SUM(AH83:AI83)</f>
        <v>0</v>
      </c>
      <c r="AK83" s="18">
        <v>0</v>
      </c>
      <c r="AL83" s="18"/>
      <c r="AM83" s="18">
        <f t="shared" si="45"/>
        <v>0</v>
      </c>
      <c r="AN83" s="8">
        <f t="shared" si="31"/>
        <v>0</v>
      </c>
      <c r="AO83" s="18"/>
      <c r="AP83" s="7">
        <f t="shared" si="35"/>
        <v>561599.99999999988</v>
      </c>
      <c r="AQ83" s="8">
        <f t="shared" si="36"/>
        <v>0</v>
      </c>
      <c r="AR83" s="8">
        <f t="shared" si="37"/>
        <v>0</v>
      </c>
      <c r="AS83" s="23"/>
      <c r="AT83" s="497">
        <f>AT114*AM83/AT$3</f>
        <v>0</v>
      </c>
      <c r="AU83" s="8">
        <f t="shared" si="32"/>
        <v>0</v>
      </c>
      <c r="AV83" s="18"/>
      <c r="AW83" s="23">
        <f t="shared" si="38"/>
        <v>37135800.000000007</v>
      </c>
      <c r="AX83" s="23">
        <f t="shared" si="46"/>
        <v>0</v>
      </c>
      <c r="AY83" s="8">
        <f t="shared" si="39"/>
        <v>0</v>
      </c>
      <c r="AZ83" s="23"/>
      <c r="BA83">
        <f t="shared" si="40"/>
        <v>78</v>
      </c>
      <c r="BB83" s="18">
        <f t="shared" si="33"/>
        <v>0</v>
      </c>
      <c r="BC83">
        <f t="shared" si="41"/>
        <v>0</v>
      </c>
      <c r="BD83">
        <f t="shared" si="34"/>
        <v>0</v>
      </c>
      <c r="BF83">
        <f t="shared" si="42"/>
        <v>78</v>
      </c>
      <c r="BG83" s="18">
        <f t="shared" si="43"/>
        <v>0</v>
      </c>
      <c r="BH83">
        <f t="shared" si="44"/>
        <v>0</v>
      </c>
    </row>
    <row r="84" spans="1:60" x14ac:dyDescent="0.3">
      <c r="A84">
        <v>79</v>
      </c>
      <c r="B84" s="18">
        <v>0</v>
      </c>
      <c r="C84" s="18">
        <v>0</v>
      </c>
      <c r="D84" s="18">
        <v>0</v>
      </c>
      <c r="E84" s="18">
        <v>0</v>
      </c>
      <c r="F84" s="18">
        <v>0</v>
      </c>
      <c r="G84" s="18">
        <v>0</v>
      </c>
      <c r="H84" s="18">
        <v>0</v>
      </c>
      <c r="I84" s="18">
        <v>0</v>
      </c>
      <c r="J84" s="18">
        <v>0</v>
      </c>
      <c r="K84" s="18">
        <v>0</v>
      </c>
      <c r="L84" s="18">
        <v>0</v>
      </c>
      <c r="M84" s="18">
        <v>0</v>
      </c>
      <c r="N84" s="18">
        <v>0</v>
      </c>
      <c r="O84" s="18">
        <v>0</v>
      </c>
      <c r="P84" s="18">
        <v>0</v>
      </c>
      <c r="Q84" s="18">
        <v>0</v>
      </c>
      <c r="R84" s="18">
        <v>0</v>
      </c>
      <c r="S84" s="18">
        <v>0</v>
      </c>
      <c r="T84" s="18">
        <v>0</v>
      </c>
      <c r="U84" s="18">
        <v>0</v>
      </c>
      <c r="V84" s="18">
        <v>0</v>
      </c>
      <c r="W84" s="18">
        <v>0</v>
      </c>
      <c r="X84" s="18">
        <v>0</v>
      </c>
      <c r="Y84" s="18">
        <v>0</v>
      </c>
      <c r="Z84" s="18">
        <v>0</v>
      </c>
      <c r="AA84" s="18">
        <v>0</v>
      </c>
      <c r="AB84" s="18">
        <v>0</v>
      </c>
      <c r="AC84" s="18">
        <v>0</v>
      </c>
      <c r="AD84" s="18">
        <v>0</v>
      </c>
      <c r="AE84" s="18">
        <v>0</v>
      </c>
      <c r="AF84" s="18">
        <v>0</v>
      </c>
      <c r="AG84" s="18"/>
      <c r="AH84" s="18">
        <f t="shared" si="47"/>
        <v>0</v>
      </c>
      <c r="AI84" s="18">
        <v>0</v>
      </c>
      <c r="AJ84" s="18">
        <f t="shared" si="30"/>
        <v>0</v>
      </c>
      <c r="AK84" s="18">
        <v>0</v>
      </c>
      <c r="AL84" s="18"/>
      <c r="AM84" s="18">
        <f t="shared" si="45"/>
        <v>0</v>
      </c>
      <c r="AN84" s="8">
        <f t="shared" si="31"/>
        <v>0</v>
      </c>
      <c r="AO84" s="18"/>
      <c r="AP84" s="7">
        <f t="shared" si="35"/>
        <v>568799.99999999988</v>
      </c>
      <c r="AQ84" s="8">
        <f t="shared" si="36"/>
        <v>0</v>
      </c>
      <c r="AR84" s="8">
        <f t="shared" si="37"/>
        <v>0</v>
      </c>
      <c r="AS84" s="23"/>
      <c r="AT84" s="18">
        <f t="shared" si="29"/>
        <v>0</v>
      </c>
      <c r="AU84" s="8">
        <f t="shared" si="32"/>
        <v>0</v>
      </c>
      <c r="AV84" s="18"/>
      <c r="AW84" s="23">
        <f t="shared" si="38"/>
        <v>37611900.000000007</v>
      </c>
      <c r="AX84" s="23">
        <f t="shared" si="46"/>
        <v>0</v>
      </c>
      <c r="AY84" s="8">
        <f t="shared" si="39"/>
        <v>0</v>
      </c>
      <c r="AZ84" s="23"/>
      <c r="BA84">
        <f t="shared" si="40"/>
        <v>79</v>
      </c>
      <c r="BB84" s="18">
        <f t="shared" si="33"/>
        <v>0</v>
      </c>
      <c r="BC84">
        <f t="shared" si="41"/>
        <v>0</v>
      </c>
      <c r="BD84">
        <f t="shared" si="34"/>
        <v>0</v>
      </c>
      <c r="BF84">
        <f t="shared" si="42"/>
        <v>79</v>
      </c>
      <c r="BG84" s="18">
        <f t="shared" si="43"/>
        <v>0</v>
      </c>
      <c r="BH84">
        <f t="shared" si="44"/>
        <v>0</v>
      </c>
    </row>
    <row r="85" spans="1:60" x14ac:dyDescent="0.3">
      <c r="A85">
        <v>80</v>
      </c>
      <c r="B85" s="18">
        <v>0</v>
      </c>
      <c r="C85" s="18">
        <v>0</v>
      </c>
      <c r="D85" s="18">
        <v>0</v>
      </c>
      <c r="E85" s="18">
        <v>0</v>
      </c>
      <c r="F85" s="18">
        <v>0</v>
      </c>
      <c r="G85" s="18">
        <v>0</v>
      </c>
      <c r="H85" s="18">
        <v>0</v>
      </c>
      <c r="I85" s="18">
        <v>0</v>
      </c>
      <c r="J85" s="18">
        <v>0</v>
      </c>
      <c r="K85" s="18">
        <v>0</v>
      </c>
      <c r="L85" s="18">
        <v>0</v>
      </c>
      <c r="M85" s="18">
        <v>0</v>
      </c>
      <c r="N85" s="18">
        <v>0</v>
      </c>
      <c r="O85" s="18">
        <v>0</v>
      </c>
      <c r="P85" s="18">
        <v>0</v>
      </c>
      <c r="Q85" s="18">
        <v>0</v>
      </c>
      <c r="R85" s="18">
        <v>0</v>
      </c>
      <c r="S85" s="18">
        <v>0</v>
      </c>
      <c r="T85" s="18">
        <v>0</v>
      </c>
      <c r="U85" s="18">
        <v>0</v>
      </c>
      <c r="V85" s="18">
        <v>0</v>
      </c>
      <c r="W85" s="18">
        <v>0</v>
      </c>
      <c r="X85" s="18">
        <v>0</v>
      </c>
      <c r="Y85" s="18">
        <v>0</v>
      </c>
      <c r="Z85" s="18">
        <v>0</v>
      </c>
      <c r="AA85" s="18">
        <v>0</v>
      </c>
      <c r="AB85" s="18">
        <v>0</v>
      </c>
      <c r="AC85" s="18">
        <v>0</v>
      </c>
      <c r="AD85" s="18">
        <v>0</v>
      </c>
      <c r="AE85" s="18">
        <v>0</v>
      </c>
      <c r="AF85" s="18">
        <v>0</v>
      </c>
      <c r="AG85" s="18"/>
      <c r="AH85" s="18">
        <f t="shared" si="47"/>
        <v>0</v>
      </c>
      <c r="AI85" s="18">
        <v>0</v>
      </c>
      <c r="AJ85" s="18">
        <f t="shared" si="30"/>
        <v>0</v>
      </c>
      <c r="AK85" s="18">
        <v>0</v>
      </c>
      <c r="AL85" s="18"/>
      <c r="AM85" s="18">
        <f t="shared" si="45"/>
        <v>0</v>
      </c>
      <c r="AN85" s="8">
        <f t="shared" si="31"/>
        <v>0</v>
      </c>
      <c r="AO85" s="18"/>
      <c r="AP85" s="7">
        <f t="shared" si="35"/>
        <v>575999.99999999988</v>
      </c>
      <c r="AQ85" s="8">
        <f t="shared" si="36"/>
        <v>0</v>
      </c>
      <c r="AR85" s="8">
        <f t="shared" si="37"/>
        <v>0</v>
      </c>
      <c r="AS85" s="23"/>
      <c r="AT85" s="18">
        <f t="shared" si="29"/>
        <v>0</v>
      </c>
      <c r="AU85" s="8">
        <f t="shared" si="32"/>
        <v>0</v>
      </c>
      <c r="AV85" s="18"/>
      <c r="AW85" s="23">
        <f t="shared" si="38"/>
        <v>38088000.000000007</v>
      </c>
      <c r="AX85" s="23">
        <f t="shared" si="46"/>
        <v>0</v>
      </c>
      <c r="AY85" s="8">
        <f t="shared" si="39"/>
        <v>0</v>
      </c>
      <c r="AZ85" s="23"/>
      <c r="BA85">
        <f t="shared" si="40"/>
        <v>80</v>
      </c>
      <c r="BB85" s="18">
        <f t="shared" si="33"/>
        <v>0</v>
      </c>
      <c r="BC85">
        <f t="shared" si="41"/>
        <v>0</v>
      </c>
      <c r="BD85">
        <f t="shared" si="34"/>
        <v>0</v>
      </c>
      <c r="BF85">
        <f t="shared" si="42"/>
        <v>80</v>
      </c>
      <c r="BG85" s="18">
        <f t="shared" si="43"/>
        <v>0</v>
      </c>
      <c r="BH85">
        <f t="shared" si="44"/>
        <v>0</v>
      </c>
    </row>
    <row r="86" spans="1:60" x14ac:dyDescent="0.3">
      <c r="A86">
        <v>81</v>
      </c>
      <c r="B86" s="18">
        <v>0</v>
      </c>
      <c r="C86" s="18">
        <v>0</v>
      </c>
      <c r="D86" s="18">
        <v>0</v>
      </c>
      <c r="E86" s="18">
        <v>0</v>
      </c>
      <c r="F86" s="18">
        <v>0</v>
      </c>
      <c r="G86" s="18">
        <v>0</v>
      </c>
      <c r="H86" s="18">
        <v>0</v>
      </c>
      <c r="I86" s="18">
        <v>0</v>
      </c>
      <c r="J86" s="18">
        <v>0</v>
      </c>
      <c r="K86" s="18">
        <v>0</v>
      </c>
      <c r="L86" s="18">
        <v>0</v>
      </c>
      <c r="M86" s="18">
        <v>0</v>
      </c>
      <c r="N86" s="18">
        <v>0</v>
      </c>
      <c r="O86" s="18">
        <v>0</v>
      </c>
      <c r="P86" s="18">
        <v>0</v>
      </c>
      <c r="Q86" s="18">
        <v>0</v>
      </c>
      <c r="R86" s="18">
        <v>0</v>
      </c>
      <c r="S86" s="18">
        <v>0</v>
      </c>
      <c r="T86" s="18">
        <v>0</v>
      </c>
      <c r="U86" s="18">
        <v>0</v>
      </c>
      <c r="V86" s="18">
        <v>0</v>
      </c>
      <c r="W86" s="18">
        <v>0</v>
      </c>
      <c r="X86" s="18">
        <v>0</v>
      </c>
      <c r="Y86" s="18">
        <v>0</v>
      </c>
      <c r="Z86" s="18">
        <v>0</v>
      </c>
      <c r="AA86" s="18">
        <v>0</v>
      </c>
      <c r="AB86" s="18">
        <v>0</v>
      </c>
      <c r="AC86" s="18">
        <v>0</v>
      </c>
      <c r="AD86" s="18">
        <v>0</v>
      </c>
      <c r="AE86" s="18">
        <v>0</v>
      </c>
      <c r="AF86" s="18">
        <v>0</v>
      </c>
      <c r="AH86" s="18">
        <f t="shared" si="47"/>
        <v>0</v>
      </c>
      <c r="AI86" s="18">
        <v>0</v>
      </c>
      <c r="AJ86" s="18">
        <f>SUM(AH86:AI86)</f>
        <v>0</v>
      </c>
      <c r="AK86" s="18">
        <v>0</v>
      </c>
      <c r="AL86" s="18"/>
      <c r="AM86" s="18">
        <f t="shared" si="45"/>
        <v>0</v>
      </c>
      <c r="AN86" s="8">
        <f t="shared" si="31"/>
        <v>0</v>
      </c>
      <c r="AO86" s="18"/>
      <c r="AP86" s="7">
        <f t="shared" si="35"/>
        <v>583199.99999999988</v>
      </c>
      <c r="AQ86" s="8">
        <f t="shared" si="36"/>
        <v>0</v>
      </c>
      <c r="AR86" s="8">
        <f t="shared" si="37"/>
        <v>0</v>
      </c>
      <c r="AS86" s="23"/>
      <c r="AT86" s="497">
        <f>AT114*AM86/AT$3</f>
        <v>0</v>
      </c>
      <c r="AU86" s="8">
        <f t="shared" si="32"/>
        <v>0</v>
      </c>
      <c r="AV86" s="18"/>
      <c r="AW86" s="23">
        <f t="shared" si="38"/>
        <v>38564100.000000007</v>
      </c>
      <c r="AX86" s="23">
        <f t="shared" si="46"/>
        <v>0</v>
      </c>
      <c r="AY86" s="8">
        <f t="shared" si="39"/>
        <v>0</v>
      </c>
      <c r="AZ86" s="23"/>
      <c r="BA86">
        <f t="shared" si="40"/>
        <v>81</v>
      </c>
      <c r="BB86" s="18">
        <f t="shared" si="33"/>
        <v>0</v>
      </c>
      <c r="BC86">
        <f t="shared" si="41"/>
        <v>0</v>
      </c>
      <c r="BD86">
        <f t="shared" si="34"/>
        <v>0</v>
      </c>
      <c r="BF86">
        <f t="shared" si="42"/>
        <v>81</v>
      </c>
      <c r="BG86" s="18">
        <f t="shared" si="43"/>
        <v>0</v>
      </c>
      <c r="BH86">
        <f t="shared" si="44"/>
        <v>0</v>
      </c>
    </row>
    <row r="87" spans="1:60" x14ac:dyDescent="0.3">
      <c r="A87">
        <v>82</v>
      </c>
      <c r="B87" s="18">
        <v>0</v>
      </c>
      <c r="C87" s="18">
        <v>0</v>
      </c>
      <c r="D87" s="18">
        <v>0</v>
      </c>
      <c r="E87" s="18">
        <v>0</v>
      </c>
      <c r="F87" s="18">
        <v>0</v>
      </c>
      <c r="G87" s="18">
        <v>0</v>
      </c>
      <c r="H87" s="18">
        <v>0</v>
      </c>
      <c r="I87" s="18">
        <v>0</v>
      </c>
      <c r="J87" s="18">
        <v>0</v>
      </c>
      <c r="K87" s="18">
        <v>0</v>
      </c>
      <c r="L87" s="18">
        <v>0</v>
      </c>
      <c r="M87" s="18">
        <v>0</v>
      </c>
      <c r="N87" s="18">
        <v>0</v>
      </c>
      <c r="O87" s="18">
        <v>0</v>
      </c>
      <c r="P87" s="18">
        <v>0</v>
      </c>
      <c r="Q87" s="18">
        <v>0</v>
      </c>
      <c r="R87" s="18">
        <v>0</v>
      </c>
      <c r="S87" s="18">
        <v>0</v>
      </c>
      <c r="T87" s="18">
        <v>0</v>
      </c>
      <c r="U87" s="18">
        <v>0</v>
      </c>
      <c r="V87" s="18">
        <v>0</v>
      </c>
      <c r="W87" s="18">
        <v>0</v>
      </c>
      <c r="X87" s="18">
        <v>0</v>
      </c>
      <c r="Y87" s="18">
        <v>0</v>
      </c>
      <c r="Z87" s="18">
        <v>0</v>
      </c>
      <c r="AA87" s="18">
        <v>0</v>
      </c>
      <c r="AB87" s="18">
        <v>0</v>
      </c>
      <c r="AC87" s="18">
        <v>0</v>
      </c>
      <c r="AD87" s="18">
        <v>0</v>
      </c>
      <c r="AE87" s="18">
        <v>0</v>
      </c>
      <c r="AF87" s="18">
        <v>0</v>
      </c>
      <c r="AG87" s="18"/>
      <c r="AH87" s="18">
        <f t="shared" si="47"/>
        <v>0</v>
      </c>
      <c r="AI87" s="18">
        <v>0</v>
      </c>
      <c r="AJ87" s="18">
        <f t="shared" si="30"/>
        <v>0</v>
      </c>
      <c r="AK87" s="18">
        <v>0</v>
      </c>
      <c r="AL87" s="18"/>
      <c r="AM87" s="18">
        <f t="shared" si="45"/>
        <v>0</v>
      </c>
      <c r="AN87" s="8">
        <f t="shared" si="31"/>
        <v>0</v>
      </c>
      <c r="AO87" s="18"/>
      <c r="AP87" s="7">
        <f t="shared" si="35"/>
        <v>590399.99999999988</v>
      </c>
      <c r="AQ87" s="8">
        <f t="shared" si="36"/>
        <v>0</v>
      </c>
      <c r="AR87" s="8">
        <f t="shared" si="37"/>
        <v>0</v>
      </c>
      <c r="AS87" s="23"/>
      <c r="AT87" s="18">
        <f t="shared" si="29"/>
        <v>0</v>
      </c>
      <c r="AU87" s="8">
        <f t="shared" si="32"/>
        <v>0</v>
      </c>
      <c r="AV87" s="18"/>
      <c r="AW87" s="23">
        <f t="shared" si="38"/>
        <v>39040200.000000007</v>
      </c>
      <c r="AX87" s="23">
        <f t="shared" si="46"/>
        <v>0</v>
      </c>
      <c r="AY87" s="8">
        <f t="shared" si="39"/>
        <v>0</v>
      </c>
      <c r="AZ87" s="23"/>
      <c r="BA87">
        <f t="shared" si="40"/>
        <v>82</v>
      </c>
      <c r="BB87" s="18">
        <f t="shared" si="33"/>
        <v>0</v>
      </c>
      <c r="BC87">
        <f t="shared" si="41"/>
        <v>0</v>
      </c>
      <c r="BD87">
        <f t="shared" si="34"/>
        <v>0</v>
      </c>
      <c r="BF87">
        <f t="shared" si="42"/>
        <v>82</v>
      </c>
      <c r="BG87" s="18">
        <f t="shared" si="43"/>
        <v>0</v>
      </c>
      <c r="BH87">
        <f t="shared" si="44"/>
        <v>0</v>
      </c>
    </row>
    <row r="88" spans="1:60" x14ac:dyDescent="0.3">
      <c r="A88">
        <v>83</v>
      </c>
      <c r="B88" s="18">
        <v>0</v>
      </c>
      <c r="C88" s="18">
        <v>0</v>
      </c>
      <c r="D88" s="18">
        <v>0</v>
      </c>
      <c r="E88" s="18">
        <v>0</v>
      </c>
      <c r="F88" s="18">
        <v>0</v>
      </c>
      <c r="G88" s="18">
        <v>0</v>
      </c>
      <c r="H88" s="18">
        <v>0</v>
      </c>
      <c r="I88" s="18">
        <v>0</v>
      </c>
      <c r="J88" s="18">
        <v>0</v>
      </c>
      <c r="K88" s="18">
        <v>0</v>
      </c>
      <c r="L88" s="18">
        <v>0</v>
      </c>
      <c r="M88" s="18">
        <v>0</v>
      </c>
      <c r="N88" s="18">
        <v>0</v>
      </c>
      <c r="O88" s="18">
        <v>0</v>
      </c>
      <c r="P88" s="18">
        <v>0</v>
      </c>
      <c r="Q88" s="18">
        <v>0</v>
      </c>
      <c r="R88" s="18">
        <v>0</v>
      </c>
      <c r="S88" s="18">
        <v>0</v>
      </c>
      <c r="T88" s="18">
        <v>0</v>
      </c>
      <c r="U88" s="18">
        <v>0</v>
      </c>
      <c r="V88" s="18">
        <v>0</v>
      </c>
      <c r="W88" s="18">
        <v>0</v>
      </c>
      <c r="X88" s="18">
        <v>0</v>
      </c>
      <c r="Y88" s="18">
        <v>0</v>
      </c>
      <c r="Z88" s="18">
        <v>0</v>
      </c>
      <c r="AA88" s="18">
        <v>0</v>
      </c>
      <c r="AB88" s="18">
        <v>0</v>
      </c>
      <c r="AC88" s="18">
        <v>0</v>
      </c>
      <c r="AD88" s="18">
        <v>0</v>
      </c>
      <c r="AE88" s="18">
        <v>0</v>
      </c>
      <c r="AF88" s="18">
        <v>0</v>
      </c>
      <c r="AG88" s="18"/>
      <c r="AH88" s="18">
        <f t="shared" si="47"/>
        <v>0</v>
      </c>
      <c r="AI88" s="18">
        <v>0</v>
      </c>
      <c r="AJ88" s="18">
        <f t="shared" si="30"/>
        <v>0</v>
      </c>
      <c r="AK88" s="18">
        <v>0</v>
      </c>
      <c r="AL88" s="18"/>
      <c r="AM88" s="18">
        <f t="shared" si="45"/>
        <v>0</v>
      </c>
      <c r="AN88" s="8">
        <f t="shared" si="31"/>
        <v>0</v>
      </c>
      <c r="AO88" s="18"/>
      <c r="AP88" s="7">
        <f t="shared" si="35"/>
        <v>597599.99999999988</v>
      </c>
      <c r="AQ88" s="8">
        <f t="shared" si="36"/>
        <v>0</v>
      </c>
      <c r="AR88" s="8">
        <f t="shared" si="37"/>
        <v>0</v>
      </c>
      <c r="AS88" s="23"/>
      <c r="AT88" s="18">
        <f t="shared" si="29"/>
        <v>0</v>
      </c>
      <c r="AU88" s="8">
        <f t="shared" si="32"/>
        <v>0</v>
      </c>
      <c r="AV88" s="18"/>
      <c r="AW88" s="23">
        <f t="shared" si="38"/>
        <v>39516300.000000007</v>
      </c>
      <c r="AX88" s="23">
        <f t="shared" si="46"/>
        <v>0</v>
      </c>
      <c r="AY88" s="8">
        <f t="shared" si="39"/>
        <v>0</v>
      </c>
      <c r="AZ88" s="23"/>
      <c r="BA88">
        <f t="shared" si="40"/>
        <v>83</v>
      </c>
      <c r="BB88" s="18">
        <f t="shared" si="33"/>
        <v>0</v>
      </c>
      <c r="BC88">
        <f t="shared" si="41"/>
        <v>0</v>
      </c>
      <c r="BD88">
        <f t="shared" si="34"/>
        <v>0</v>
      </c>
      <c r="BF88">
        <f t="shared" si="42"/>
        <v>83</v>
      </c>
      <c r="BG88" s="18">
        <f t="shared" si="43"/>
        <v>0</v>
      </c>
      <c r="BH88">
        <f t="shared" si="44"/>
        <v>0</v>
      </c>
    </row>
    <row r="89" spans="1:60" x14ac:dyDescent="0.3">
      <c r="A89">
        <v>84</v>
      </c>
      <c r="B89" s="18">
        <v>0</v>
      </c>
      <c r="C89" s="18">
        <v>0</v>
      </c>
      <c r="D89" s="18">
        <v>0</v>
      </c>
      <c r="E89" s="18">
        <v>0</v>
      </c>
      <c r="F89" s="18">
        <v>0</v>
      </c>
      <c r="G89" s="18">
        <v>0</v>
      </c>
      <c r="H89" s="18">
        <v>0</v>
      </c>
      <c r="I89" s="18">
        <v>0</v>
      </c>
      <c r="J89" s="18">
        <v>0</v>
      </c>
      <c r="K89" s="18">
        <v>0</v>
      </c>
      <c r="L89" s="18">
        <v>0</v>
      </c>
      <c r="M89" s="18">
        <v>0</v>
      </c>
      <c r="N89" s="18">
        <v>0</v>
      </c>
      <c r="O89" s="18">
        <v>0</v>
      </c>
      <c r="P89" s="18">
        <v>0</v>
      </c>
      <c r="Q89" s="18">
        <v>0</v>
      </c>
      <c r="R89" s="18">
        <v>0</v>
      </c>
      <c r="S89" s="18">
        <v>0</v>
      </c>
      <c r="T89" s="18">
        <v>0</v>
      </c>
      <c r="U89" s="18">
        <v>0</v>
      </c>
      <c r="V89" s="18">
        <v>0</v>
      </c>
      <c r="W89" s="18">
        <v>0</v>
      </c>
      <c r="X89" s="18">
        <v>0</v>
      </c>
      <c r="Y89" s="18">
        <v>0</v>
      </c>
      <c r="Z89" s="18">
        <v>0</v>
      </c>
      <c r="AA89" s="18">
        <v>0</v>
      </c>
      <c r="AB89" s="18">
        <v>0</v>
      </c>
      <c r="AC89" s="18">
        <v>0</v>
      </c>
      <c r="AD89" s="18">
        <v>0</v>
      </c>
      <c r="AE89" s="18">
        <v>0</v>
      </c>
      <c r="AF89" s="18">
        <v>0</v>
      </c>
      <c r="AH89" s="18">
        <f t="shared" si="47"/>
        <v>0</v>
      </c>
      <c r="AI89" s="18">
        <v>0</v>
      </c>
      <c r="AJ89" s="18">
        <f>SUM(AH89:AI89)</f>
        <v>0</v>
      </c>
      <c r="AK89" s="18">
        <v>0</v>
      </c>
      <c r="AL89" s="18"/>
      <c r="AM89" s="18">
        <f t="shared" si="45"/>
        <v>0</v>
      </c>
      <c r="AN89" s="8">
        <f t="shared" si="31"/>
        <v>0</v>
      </c>
      <c r="AO89" s="18"/>
      <c r="AP89" s="7">
        <f t="shared" si="35"/>
        <v>604799.99999999988</v>
      </c>
      <c r="AQ89" s="8">
        <f t="shared" si="36"/>
        <v>0</v>
      </c>
      <c r="AR89" s="8">
        <f t="shared" si="37"/>
        <v>0</v>
      </c>
      <c r="AS89" s="23"/>
      <c r="AT89" s="497">
        <f>AT114*AM89/AT$3</f>
        <v>0</v>
      </c>
      <c r="AU89" s="8">
        <f t="shared" si="32"/>
        <v>0</v>
      </c>
      <c r="AV89" s="18"/>
      <c r="AW89" s="23">
        <f t="shared" si="38"/>
        <v>39992400.000000007</v>
      </c>
      <c r="AX89" s="23">
        <f t="shared" si="46"/>
        <v>0</v>
      </c>
      <c r="AY89" s="8">
        <f t="shared" si="39"/>
        <v>0</v>
      </c>
      <c r="AZ89" s="23"/>
      <c r="BA89">
        <f t="shared" si="40"/>
        <v>84</v>
      </c>
      <c r="BB89" s="18">
        <f t="shared" si="33"/>
        <v>0</v>
      </c>
      <c r="BC89">
        <f t="shared" si="41"/>
        <v>0</v>
      </c>
      <c r="BD89">
        <f t="shared" si="34"/>
        <v>0</v>
      </c>
      <c r="BF89">
        <f t="shared" si="42"/>
        <v>84</v>
      </c>
      <c r="BG89" s="18">
        <f t="shared" si="43"/>
        <v>0</v>
      </c>
      <c r="BH89">
        <f t="shared" si="44"/>
        <v>0</v>
      </c>
    </row>
    <row r="90" spans="1:60" x14ac:dyDescent="0.3">
      <c r="A90">
        <v>85</v>
      </c>
      <c r="B90" s="18">
        <v>0</v>
      </c>
      <c r="C90" s="18">
        <v>0</v>
      </c>
      <c r="D90" s="18">
        <v>0</v>
      </c>
      <c r="E90" s="18">
        <v>0</v>
      </c>
      <c r="F90" s="18">
        <v>0</v>
      </c>
      <c r="G90" s="18">
        <v>0</v>
      </c>
      <c r="H90" s="18">
        <v>0</v>
      </c>
      <c r="I90" s="18">
        <v>0</v>
      </c>
      <c r="J90" s="18">
        <v>0</v>
      </c>
      <c r="K90" s="18">
        <v>0</v>
      </c>
      <c r="L90" s="18">
        <v>0</v>
      </c>
      <c r="M90" s="18">
        <v>0</v>
      </c>
      <c r="N90" s="18">
        <v>0</v>
      </c>
      <c r="O90" s="18">
        <v>0</v>
      </c>
      <c r="P90" s="18">
        <v>0</v>
      </c>
      <c r="Q90" s="18">
        <v>0</v>
      </c>
      <c r="R90" s="18">
        <v>0</v>
      </c>
      <c r="S90" s="18">
        <v>0</v>
      </c>
      <c r="T90" s="18">
        <v>0</v>
      </c>
      <c r="U90" s="18">
        <v>0</v>
      </c>
      <c r="V90" s="18">
        <v>0</v>
      </c>
      <c r="W90" s="18">
        <v>0</v>
      </c>
      <c r="X90" s="18">
        <v>0</v>
      </c>
      <c r="Y90" s="18">
        <v>0</v>
      </c>
      <c r="Z90" s="18">
        <v>0</v>
      </c>
      <c r="AA90" s="18">
        <v>0</v>
      </c>
      <c r="AB90" s="18">
        <v>0</v>
      </c>
      <c r="AC90" s="18">
        <v>0</v>
      </c>
      <c r="AD90" s="18">
        <v>0</v>
      </c>
      <c r="AE90" s="18">
        <v>0</v>
      </c>
      <c r="AF90" s="18">
        <v>0</v>
      </c>
      <c r="AG90" s="18"/>
      <c r="AH90" s="18">
        <f t="shared" si="47"/>
        <v>0</v>
      </c>
      <c r="AI90" s="18">
        <v>0</v>
      </c>
      <c r="AJ90" s="18">
        <f t="shared" si="30"/>
        <v>0</v>
      </c>
      <c r="AK90" s="18">
        <v>0</v>
      </c>
      <c r="AL90" s="18"/>
      <c r="AM90" s="18">
        <f t="shared" si="45"/>
        <v>0</v>
      </c>
      <c r="AN90" s="8">
        <f t="shared" si="31"/>
        <v>0</v>
      </c>
      <c r="AO90" s="18"/>
      <c r="AP90" s="7">
        <f t="shared" si="35"/>
        <v>611999.99999999988</v>
      </c>
      <c r="AQ90" s="8">
        <f t="shared" si="36"/>
        <v>0</v>
      </c>
      <c r="AR90" s="8">
        <f t="shared" si="37"/>
        <v>0</v>
      </c>
      <c r="AS90" s="23"/>
      <c r="AT90" s="18">
        <f t="shared" si="29"/>
        <v>0</v>
      </c>
      <c r="AU90" s="8">
        <f t="shared" si="32"/>
        <v>0</v>
      </c>
      <c r="AV90" s="18"/>
      <c r="AW90" s="23">
        <f t="shared" si="38"/>
        <v>40468500.000000007</v>
      </c>
      <c r="AX90" s="23">
        <f t="shared" si="46"/>
        <v>0</v>
      </c>
      <c r="AY90" s="8">
        <f t="shared" si="39"/>
        <v>0</v>
      </c>
      <c r="AZ90" s="23"/>
      <c r="BA90">
        <f t="shared" si="40"/>
        <v>85</v>
      </c>
      <c r="BB90" s="18">
        <f t="shared" si="33"/>
        <v>0</v>
      </c>
      <c r="BC90">
        <f t="shared" si="41"/>
        <v>0</v>
      </c>
      <c r="BD90">
        <f t="shared" si="34"/>
        <v>0</v>
      </c>
      <c r="BF90">
        <f t="shared" si="42"/>
        <v>85</v>
      </c>
      <c r="BG90" s="18">
        <f t="shared" si="43"/>
        <v>0</v>
      </c>
      <c r="BH90">
        <f t="shared" si="44"/>
        <v>0</v>
      </c>
    </row>
    <row r="91" spans="1:60" x14ac:dyDescent="0.3">
      <c r="A91">
        <v>86</v>
      </c>
      <c r="B91" s="18">
        <v>0</v>
      </c>
      <c r="C91" s="18">
        <v>0</v>
      </c>
      <c r="D91" s="18">
        <v>0</v>
      </c>
      <c r="E91" s="18">
        <v>0</v>
      </c>
      <c r="F91" s="18">
        <v>0</v>
      </c>
      <c r="G91" s="18">
        <v>0</v>
      </c>
      <c r="H91" s="18">
        <v>0</v>
      </c>
      <c r="I91" s="18">
        <v>0</v>
      </c>
      <c r="J91" s="18">
        <v>0</v>
      </c>
      <c r="K91" s="18">
        <v>0</v>
      </c>
      <c r="L91" s="18">
        <v>0</v>
      </c>
      <c r="M91" s="18">
        <v>0</v>
      </c>
      <c r="N91" s="18">
        <v>0</v>
      </c>
      <c r="O91" s="18">
        <v>0</v>
      </c>
      <c r="P91" s="18">
        <v>0</v>
      </c>
      <c r="Q91" s="18">
        <v>0</v>
      </c>
      <c r="R91" s="18">
        <v>0</v>
      </c>
      <c r="S91" s="18">
        <v>0</v>
      </c>
      <c r="T91" s="18">
        <v>0</v>
      </c>
      <c r="U91" s="18">
        <v>0</v>
      </c>
      <c r="V91" s="18">
        <v>0</v>
      </c>
      <c r="W91" s="18">
        <v>0</v>
      </c>
      <c r="X91" s="18">
        <v>0</v>
      </c>
      <c r="Y91" s="18">
        <v>0</v>
      </c>
      <c r="Z91" s="18">
        <v>0</v>
      </c>
      <c r="AA91" s="18">
        <v>0</v>
      </c>
      <c r="AB91" s="18">
        <v>0</v>
      </c>
      <c r="AC91" s="18">
        <v>0</v>
      </c>
      <c r="AD91" s="18">
        <v>0</v>
      </c>
      <c r="AE91" s="18">
        <v>0</v>
      </c>
      <c r="AF91" s="18">
        <v>0</v>
      </c>
      <c r="AG91" s="18"/>
      <c r="AH91" s="18">
        <f t="shared" si="47"/>
        <v>0</v>
      </c>
      <c r="AI91" s="18">
        <v>0</v>
      </c>
      <c r="AJ91" s="18">
        <f t="shared" si="30"/>
        <v>0</v>
      </c>
      <c r="AK91" s="18">
        <v>0</v>
      </c>
      <c r="AL91" s="18"/>
      <c r="AM91" s="18">
        <f t="shared" si="45"/>
        <v>0</v>
      </c>
      <c r="AN91" s="8">
        <f t="shared" si="31"/>
        <v>0</v>
      </c>
      <c r="AO91" s="18"/>
      <c r="AP91" s="7">
        <f t="shared" si="35"/>
        <v>619199.99999999988</v>
      </c>
      <c r="AQ91" s="8">
        <f t="shared" si="36"/>
        <v>0</v>
      </c>
      <c r="AR91" s="8">
        <f t="shared" si="37"/>
        <v>0</v>
      </c>
      <c r="AS91" s="23"/>
      <c r="AT91" s="18">
        <f t="shared" si="29"/>
        <v>0</v>
      </c>
      <c r="AU91" s="8">
        <f t="shared" si="32"/>
        <v>0</v>
      </c>
      <c r="AV91" s="18"/>
      <c r="AW91" s="23">
        <f t="shared" si="38"/>
        <v>40944600.000000007</v>
      </c>
      <c r="AX91" s="23">
        <f t="shared" si="46"/>
        <v>0</v>
      </c>
      <c r="AY91" s="8">
        <f t="shared" si="39"/>
        <v>0</v>
      </c>
      <c r="AZ91" s="23"/>
      <c r="BA91">
        <f t="shared" si="40"/>
        <v>86</v>
      </c>
      <c r="BB91" s="18">
        <f t="shared" si="33"/>
        <v>0</v>
      </c>
      <c r="BC91">
        <f t="shared" si="41"/>
        <v>0</v>
      </c>
      <c r="BD91">
        <f t="shared" si="34"/>
        <v>0</v>
      </c>
      <c r="BF91">
        <f t="shared" si="42"/>
        <v>86</v>
      </c>
      <c r="BG91" s="18">
        <f t="shared" si="43"/>
        <v>0</v>
      </c>
      <c r="BH91">
        <f t="shared" si="44"/>
        <v>0</v>
      </c>
    </row>
    <row r="92" spans="1:60" x14ac:dyDescent="0.3">
      <c r="A92">
        <v>87</v>
      </c>
      <c r="B92" s="18">
        <v>0</v>
      </c>
      <c r="C92" s="18">
        <v>0</v>
      </c>
      <c r="D92" s="18">
        <v>0</v>
      </c>
      <c r="E92" s="18">
        <v>0</v>
      </c>
      <c r="F92" s="18">
        <v>0</v>
      </c>
      <c r="G92" s="18">
        <v>0</v>
      </c>
      <c r="H92" s="18">
        <v>0</v>
      </c>
      <c r="I92" s="18">
        <v>0</v>
      </c>
      <c r="J92" s="18">
        <v>0</v>
      </c>
      <c r="K92" s="18">
        <v>0</v>
      </c>
      <c r="L92" s="18">
        <v>0</v>
      </c>
      <c r="M92" s="18">
        <v>0</v>
      </c>
      <c r="N92" s="18">
        <v>0</v>
      </c>
      <c r="O92" s="18">
        <v>0</v>
      </c>
      <c r="P92" s="18">
        <v>0</v>
      </c>
      <c r="Q92" s="18">
        <v>0</v>
      </c>
      <c r="R92" s="18">
        <v>0</v>
      </c>
      <c r="S92" s="18">
        <v>0</v>
      </c>
      <c r="T92" s="18">
        <v>0</v>
      </c>
      <c r="U92" s="18">
        <v>0</v>
      </c>
      <c r="V92" s="18">
        <v>0</v>
      </c>
      <c r="W92" s="18">
        <v>0</v>
      </c>
      <c r="X92" s="18">
        <v>0</v>
      </c>
      <c r="Y92" s="18">
        <v>0</v>
      </c>
      <c r="Z92" s="18">
        <v>0</v>
      </c>
      <c r="AA92" s="18">
        <v>0</v>
      </c>
      <c r="AB92" s="18">
        <v>0</v>
      </c>
      <c r="AC92" s="18">
        <v>0</v>
      </c>
      <c r="AD92" s="18">
        <v>0</v>
      </c>
      <c r="AE92" s="18">
        <v>0</v>
      </c>
      <c r="AF92" s="18">
        <v>0</v>
      </c>
      <c r="AH92" s="18">
        <f t="shared" si="47"/>
        <v>0</v>
      </c>
      <c r="AI92" s="18">
        <v>0</v>
      </c>
      <c r="AJ92" s="18">
        <f>SUM(AH92:AI92)</f>
        <v>0</v>
      </c>
      <c r="AK92" s="18">
        <v>0</v>
      </c>
      <c r="AL92" s="18"/>
      <c r="AM92" s="18">
        <f t="shared" si="45"/>
        <v>0</v>
      </c>
      <c r="AN92" s="8">
        <f t="shared" si="31"/>
        <v>0</v>
      </c>
      <c r="AO92" s="18"/>
      <c r="AP92" s="7">
        <f t="shared" si="35"/>
        <v>626399.99999999988</v>
      </c>
      <c r="AQ92" s="8">
        <f t="shared" si="36"/>
        <v>0</v>
      </c>
      <c r="AR92" s="8">
        <f t="shared" si="37"/>
        <v>0</v>
      </c>
      <c r="AS92" s="23"/>
      <c r="AT92" s="497">
        <f>AT114*AM92/AT$3</f>
        <v>0</v>
      </c>
      <c r="AU92" s="8">
        <f t="shared" si="32"/>
        <v>0</v>
      </c>
      <c r="AV92" s="18"/>
      <c r="AW92" s="23">
        <f t="shared" si="38"/>
        <v>41420700.000000007</v>
      </c>
      <c r="AX92" s="23">
        <f t="shared" si="46"/>
        <v>0</v>
      </c>
      <c r="AY92" s="8">
        <f t="shared" si="39"/>
        <v>0</v>
      </c>
      <c r="AZ92" s="23"/>
      <c r="BA92">
        <f t="shared" si="40"/>
        <v>87</v>
      </c>
      <c r="BB92" s="18">
        <f t="shared" si="33"/>
        <v>0</v>
      </c>
      <c r="BC92">
        <f t="shared" si="41"/>
        <v>0</v>
      </c>
      <c r="BD92">
        <f t="shared" si="34"/>
        <v>0</v>
      </c>
      <c r="BF92">
        <f t="shared" si="42"/>
        <v>87</v>
      </c>
      <c r="BG92" s="18">
        <f t="shared" si="43"/>
        <v>0</v>
      </c>
      <c r="BH92">
        <f t="shared" si="44"/>
        <v>0</v>
      </c>
    </row>
    <row r="93" spans="1:60" x14ac:dyDescent="0.3">
      <c r="A93">
        <v>88</v>
      </c>
      <c r="B93" s="18">
        <v>0</v>
      </c>
      <c r="C93" s="18">
        <v>0</v>
      </c>
      <c r="D93" s="18">
        <v>0</v>
      </c>
      <c r="E93" s="18">
        <v>0</v>
      </c>
      <c r="F93" s="18">
        <v>0</v>
      </c>
      <c r="G93" s="18">
        <v>0</v>
      </c>
      <c r="H93" s="18">
        <v>0</v>
      </c>
      <c r="I93" s="18">
        <v>0</v>
      </c>
      <c r="J93" s="18">
        <v>0</v>
      </c>
      <c r="K93" s="18">
        <v>0</v>
      </c>
      <c r="L93" s="18">
        <v>0</v>
      </c>
      <c r="M93" s="18">
        <v>0</v>
      </c>
      <c r="N93" s="18">
        <v>0</v>
      </c>
      <c r="O93" s="18">
        <v>0</v>
      </c>
      <c r="P93" s="18">
        <v>0</v>
      </c>
      <c r="Q93" s="18">
        <v>0</v>
      </c>
      <c r="R93" s="18">
        <v>0</v>
      </c>
      <c r="S93" s="18">
        <v>0</v>
      </c>
      <c r="T93" s="18">
        <v>0</v>
      </c>
      <c r="U93" s="18">
        <v>0</v>
      </c>
      <c r="V93" s="18">
        <v>0</v>
      </c>
      <c r="W93" s="18">
        <v>0</v>
      </c>
      <c r="X93" s="18">
        <v>0</v>
      </c>
      <c r="Y93" s="18">
        <v>0</v>
      </c>
      <c r="Z93" s="18">
        <v>0</v>
      </c>
      <c r="AA93" s="18">
        <v>0</v>
      </c>
      <c r="AB93" s="18">
        <v>0</v>
      </c>
      <c r="AC93" s="18">
        <v>0</v>
      </c>
      <c r="AD93" s="18">
        <v>0</v>
      </c>
      <c r="AE93" s="18">
        <v>0</v>
      </c>
      <c r="AF93" s="18">
        <v>0</v>
      </c>
      <c r="AG93" s="18"/>
      <c r="AH93" s="18">
        <f t="shared" si="47"/>
        <v>0</v>
      </c>
      <c r="AI93" s="18">
        <v>0</v>
      </c>
      <c r="AJ93" s="18">
        <f t="shared" si="30"/>
        <v>0</v>
      </c>
      <c r="AK93" s="18">
        <v>0</v>
      </c>
      <c r="AL93" s="18"/>
      <c r="AM93" s="18">
        <f t="shared" si="45"/>
        <v>0</v>
      </c>
      <c r="AN93" s="8">
        <f t="shared" si="31"/>
        <v>0</v>
      </c>
      <c r="AO93" s="18"/>
      <c r="AP93" s="7">
        <f t="shared" si="35"/>
        <v>633599.99999999988</v>
      </c>
      <c r="AQ93" s="8">
        <f t="shared" si="36"/>
        <v>0</v>
      </c>
      <c r="AR93" s="8">
        <f t="shared" si="37"/>
        <v>0</v>
      </c>
      <c r="AS93" s="23"/>
      <c r="AT93" s="18">
        <f t="shared" si="29"/>
        <v>0</v>
      </c>
      <c r="AU93" s="8">
        <f t="shared" si="32"/>
        <v>0</v>
      </c>
      <c r="AV93" s="18"/>
      <c r="AW93" s="23">
        <f t="shared" si="38"/>
        <v>41896800.000000007</v>
      </c>
      <c r="AX93" s="23">
        <f t="shared" si="46"/>
        <v>0</v>
      </c>
      <c r="AY93" s="8">
        <f t="shared" si="39"/>
        <v>0</v>
      </c>
      <c r="AZ93" s="23"/>
      <c r="BA93">
        <f t="shared" si="40"/>
        <v>88</v>
      </c>
      <c r="BB93" s="18">
        <f t="shared" si="33"/>
        <v>0</v>
      </c>
      <c r="BC93">
        <f t="shared" si="41"/>
        <v>0</v>
      </c>
      <c r="BD93">
        <f t="shared" si="34"/>
        <v>0</v>
      </c>
      <c r="BF93">
        <f t="shared" si="42"/>
        <v>88</v>
      </c>
      <c r="BG93" s="18">
        <f t="shared" si="43"/>
        <v>0</v>
      </c>
      <c r="BH93">
        <f t="shared" si="44"/>
        <v>0</v>
      </c>
    </row>
    <row r="94" spans="1:60" x14ac:dyDescent="0.3">
      <c r="A94">
        <v>89</v>
      </c>
      <c r="B94" s="18">
        <v>0</v>
      </c>
      <c r="C94" s="18">
        <v>0</v>
      </c>
      <c r="D94" s="18">
        <v>0</v>
      </c>
      <c r="E94" s="18">
        <v>0</v>
      </c>
      <c r="F94" s="18">
        <v>0</v>
      </c>
      <c r="G94" s="18">
        <v>0</v>
      </c>
      <c r="H94" s="18">
        <v>0</v>
      </c>
      <c r="I94" s="18">
        <v>0</v>
      </c>
      <c r="J94" s="18">
        <v>0</v>
      </c>
      <c r="K94" s="18">
        <v>0</v>
      </c>
      <c r="L94" s="18">
        <v>0</v>
      </c>
      <c r="M94" s="18">
        <v>0</v>
      </c>
      <c r="N94" s="18">
        <v>0</v>
      </c>
      <c r="O94" s="18">
        <v>0</v>
      </c>
      <c r="P94" s="18">
        <v>0</v>
      </c>
      <c r="Q94" s="18">
        <v>0</v>
      </c>
      <c r="R94" s="18">
        <v>0</v>
      </c>
      <c r="S94" s="18">
        <v>0</v>
      </c>
      <c r="T94" s="18">
        <v>0</v>
      </c>
      <c r="U94" s="18">
        <v>0</v>
      </c>
      <c r="V94" s="18">
        <v>0</v>
      </c>
      <c r="W94" s="18">
        <v>0</v>
      </c>
      <c r="X94" s="18">
        <v>0</v>
      </c>
      <c r="Y94" s="18">
        <v>0</v>
      </c>
      <c r="Z94" s="18">
        <v>0</v>
      </c>
      <c r="AA94" s="18">
        <v>0</v>
      </c>
      <c r="AB94" s="18">
        <v>0</v>
      </c>
      <c r="AC94" s="18">
        <v>0</v>
      </c>
      <c r="AD94" s="18">
        <v>0</v>
      </c>
      <c r="AE94" s="18">
        <v>0</v>
      </c>
      <c r="AF94" s="18">
        <v>0</v>
      </c>
      <c r="AG94" s="18"/>
      <c r="AH94" s="18">
        <f t="shared" si="47"/>
        <v>0</v>
      </c>
      <c r="AI94" s="18">
        <v>0</v>
      </c>
      <c r="AJ94" s="18">
        <f t="shared" si="30"/>
        <v>0</v>
      </c>
      <c r="AK94" s="18">
        <v>0</v>
      </c>
      <c r="AL94" s="18"/>
      <c r="AM94" s="18">
        <f t="shared" si="45"/>
        <v>0</v>
      </c>
      <c r="AN94" s="8">
        <f t="shared" si="31"/>
        <v>0</v>
      </c>
      <c r="AO94" s="18"/>
      <c r="AP94" s="7">
        <f t="shared" si="35"/>
        <v>640799.99999999988</v>
      </c>
      <c r="AQ94" s="8">
        <f t="shared" si="36"/>
        <v>0</v>
      </c>
      <c r="AR94" s="8">
        <f t="shared" si="37"/>
        <v>0</v>
      </c>
      <c r="AS94" s="23"/>
      <c r="AT94" s="18">
        <f t="shared" si="29"/>
        <v>0</v>
      </c>
      <c r="AU94" s="8">
        <f t="shared" si="32"/>
        <v>0</v>
      </c>
      <c r="AV94" s="18"/>
      <c r="AW94" s="23">
        <f t="shared" si="38"/>
        <v>42372900.000000007</v>
      </c>
      <c r="AX94" s="23">
        <f t="shared" si="46"/>
        <v>0</v>
      </c>
      <c r="AY94" s="8">
        <f t="shared" si="39"/>
        <v>0</v>
      </c>
      <c r="AZ94" s="23"/>
      <c r="BA94">
        <f t="shared" si="40"/>
        <v>89</v>
      </c>
      <c r="BB94" s="18">
        <f t="shared" si="33"/>
        <v>0</v>
      </c>
      <c r="BC94">
        <f t="shared" si="41"/>
        <v>0</v>
      </c>
      <c r="BD94">
        <f t="shared" si="34"/>
        <v>0</v>
      </c>
      <c r="BF94">
        <f t="shared" si="42"/>
        <v>89</v>
      </c>
      <c r="BG94" s="18">
        <f t="shared" si="43"/>
        <v>0</v>
      </c>
      <c r="BH94">
        <f t="shared" si="44"/>
        <v>0</v>
      </c>
    </row>
    <row r="95" spans="1:60" x14ac:dyDescent="0.3">
      <c r="A95">
        <v>90</v>
      </c>
      <c r="B95" s="18">
        <v>0</v>
      </c>
      <c r="C95" s="18">
        <v>0</v>
      </c>
      <c r="D95" s="18">
        <v>0</v>
      </c>
      <c r="E95" s="18">
        <v>0</v>
      </c>
      <c r="F95" s="18">
        <v>0</v>
      </c>
      <c r="G95" s="18">
        <v>0</v>
      </c>
      <c r="H95" s="18">
        <v>0</v>
      </c>
      <c r="I95" s="18">
        <v>0</v>
      </c>
      <c r="J95" s="18">
        <v>0</v>
      </c>
      <c r="K95" s="18">
        <v>0</v>
      </c>
      <c r="L95" s="18">
        <v>0</v>
      </c>
      <c r="M95" s="18">
        <v>0</v>
      </c>
      <c r="N95" s="18">
        <v>0</v>
      </c>
      <c r="O95" s="18">
        <v>0</v>
      </c>
      <c r="P95" s="18">
        <v>0</v>
      </c>
      <c r="Q95" s="18">
        <v>0</v>
      </c>
      <c r="R95" s="18">
        <v>0</v>
      </c>
      <c r="S95" s="18">
        <v>0</v>
      </c>
      <c r="T95" s="18">
        <v>0</v>
      </c>
      <c r="U95" s="18">
        <v>0</v>
      </c>
      <c r="V95" s="18">
        <v>0</v>
      </c>
      <c r="W95" s="18">
        <v>0</v>
      </c>
      <c r="X95" s="18">
        <v>0</v>
      </c>
      <c r="Y95" s="18">
        <v>0</v>
      </c>
      <c r="Z95" s="18">
        <v>0</v>
      </c>
      <c r="AA95" s="18">
        <v>0</v>
      </c>
      <c r="AB95" s="18">
        <v>0</v>
      </c>
      <c r="AC95" s="18">
        <v>0</v>
      </c>
      <c r="AD95" s="18">
        <v>0</v>
      </c>
      <c r="AE95" s="18">
        <v>0</v>
      </c>
      <c r="AF95" s="18">
        <v>0</v>
      </c>
      <c r="AH95" s="18">
        <f t="shared" si="47"/>
        <v>0</v>
      </c>
      <c r="AI95" s="18">
        <v>0</v>
      </c>
      <c r="AJ95" s="18">
        <f>SUM(AH95:AI95)</f>
        <v>0</v>
      </c>
      <c r="AK95" s="18">
        <v>0</v>
      </c>
      <c r="AL95" s="18"/>
      <c r="AM95" s="18">
        <f t="shared" si="45"/>
        <v>0</v>
      </c>
      <c r="AN95" s="8">
        <f t="shared" si="31"/>
        <v>0</v>
      </c>
      <c r="AO95" s="18"/>
      <c r="AP95" s="7">
        <f t="shared" si="35"/>
        <v>647999.99999999988</v>
      </c>
      <c r="AQ95" s="8">
        <f t="shared" si="36"/>
        <v>0</v>
      </c>
      <c r="AR95" s="8">
        <f t="shared" si="37"/>
        <v>0</v>
      </c>
      <c r="AS95" s="23"/>
      <c r="AT95" s="497">
        <f>AT114*AM95/AT$3</f>
        <v>0</v>
      </c>
      <c r="AU95" s="8">
        <f t="shared" si="32"/>
        <v>0</v>
      </c>
      <c r="AV95" s="18"/>
      <c r="AW95" s="23">
        <f t="shared" si="38"/>
        <v>42849000.000000007</v>
      </c>
      <c r="AX95" s="23">
        <f t="shared" si="46"/>
        <v>0</v>
      </c>
      <c r="AY95" s="8">
        <f t="shared" si="39"/>
        <v>0</v>
      </c>
      <c r="AZ95" s="23"/>
      <c r="BA95">
        <f t="shared" si="40"/>
        <v>90</v>
      </c>
      <c r="BB95" s="18">
        <f t="shared" si="33"/>
        <v>0</v>
      </c>
      <c r="BC95">
        <f t="shared" si="41"/>
        <v>0</v>
      </c>
      <c r="BD95">
        <f t="shared" si="34"/>
        <v>0</v>
      </c>
      <c r="BF95">
        <f t="shared" si="42"/>
        <v>90</v>
      </c>
      <c r="BG95" s="18">
        <f t="shared" si="43"/>
        <v>0</v>
      </c>
      <c r="BH95">
        <f t="shared" si="44"/>
        <v>0</v>
      </c>
    </row>
    <row r="96" spans="1:60" x14ac:dyDescent="0.3">
      <c r="A96">
        <v>91</v>
      </c>
      <c r="B96" s="18">
        <v>0</v>
      </c>
      <c r="C96" s="18">
        <v>0</v>
      </c>
      <c r="D96" s="18">
        <v>0</v>
      </c>
      <c r="E96" s="18">
        <v>0</v>
      </c>
      <c r="F96" s="18">
        <v>0</v>
      </c>
      <c r="G96" s="18">
        <v>0</v>
      </c>
      <c r="H96" s="18">
        <v>0</v>
      </c>
      <c r="I96" s="18">
        <v>0</v>
      </c>
      <c r="J96" s="18">
        <v>0</v>
      </c>
      <c r="K96" s="18">
        <v>0</v>
      </c>
      <c r="L96" s="18">
        <v>0</v>
      </c>
      <c r="M96" s="18">
        <v>0</v>
      </c>
      <c r="N96" s="18">
        <v>0</v>
      </c>
      <c r="O96" s="18">
        <v>0</v>
      </c>
      <c r="P96" s="18">
        <v>0</v>
      </c>
      <c r="Q96" s="18">
        <v>0</v>
      </c>
      <c r="R96" s="18">
        <v>0</v>
      </c>
      <c r="S96" s="18">
        <v>0</v>
      </c>
      <c r="T96" s="18">
        <v>0</v>
      </c>
      <c r="U96" s="18">
        <v>0</v>
      </c>
      <c r="V96" s="18">
        <v>0</v>
      </c>
      <c r="W96" s="18">
        <v>0</v>
      </c>
      <c r="X96" s="18">
        <v>0</v>
      </c>
      <c r="Y96" s="18">
        <v>0</v>
      </c>
      <c r="Z96" s="18">
        <v>0</v>
      </c>
      <c r="AA96" s="18">
        <v>0</v>
      </c>
      <c r="AB96" s="18">
        <v>0</v>
      </c>
      <c r="AC96" s="18">
        <v>0</v>
      </c>
      <c r="AD96" s="18">
        <v>0</v>
      </c>
      <c r="AE96" s="18">
        <v>0</v>
      </c>
      <c r="AF96" s="18">
        <v>0</v>
      </c>
      <c r="AG96" s="18"/>
      <c r="AH96" s="18">
        <f t="shared" si="47"/>
        <v>0</v>
      </c>
      <c r="AI96" s="18">
        <v>0</v>
      </c>
      <c r="AJ96" s="18">
        <f t="shared" si="30"/>
        <v>0</v>
      </c>
      <c r="AK96" s="18">
        <v>0</v>
      </c>
      <c r="AL96" s="18"/>
      <c r="AM96" s="18">
        <f t="shared" si="45"/>
        <v>0</v>
      </c>
      <c r="AN96" s="8">
        <f t="shared" si="31"/>
        <v>0</v>
      </c>
      <c r="AO96" s="18"/>
      <c r="AP96" s="7">
        <f t="shared" si="35"/>
        <v>655199.99999999988</v>
      </c>
      <c r="AQ96" s="8">
        <f t="shared" si="36"/>
        <v>0</v>
      </c>
      <c r="AR96" s="8">
        <f t="shared" si="37"/>
        <v>0</v>
      </c>
      <c r="AS96" s="23"/>
      <c r="AT96" s="18">
        <f t="shared" si="29"/>
        <v>0</v>
      </c>
      <c r="AU96" s="8">
        <f t="shared" si="32"/>
        <v>0</v>
      </c>
      <c r="AV96" s="18"/>
      <c r="AW96" s="23">
        <f t="shared" si="38"/>
        <v>43325100.000000007</v>
      </c>
      <c r="AX96" s="23">
        <f t="shared" si="46"/>
        <v>0</v>
      </c>
      <c r="AY96" s="8">
        <f t="shared" si="39"/>
        <v>0</v>
      </c>
      <c r="AZ96" s="23"/>
      <c r="BA96">
        <f t="shared" si="40"/>
        <v>91</v>
      </c>
      <c r="BB96" s="18">
        <f t="shared" si="33"/>
        <v>0</v>
      </c>
      <c r="BC96">
        <f t="shared" si="41"/>
        <v>0</v>
      </c>
      <c r="BD96">
        <f t="shared" si="34"/>
        <v>0</v>
      </c>
      <c r="BF96">
        <f t="shared" si="42"/>
        <v>91</v>
      </c>
      <c r="BG96" s="18">
        <f t="shared" si="43"/>
        <v>0</v>
      </c>
      <c r="BH96">
        <f t="shared" si="44"/>
        <v>0</v>
      </c>
    </row>
    <row r="97" spans="1:60" x14ac:dyDescent="0.3">
      <c r="A97">
        <v>92</v>
      </c>
      <c r="B97" s="18">
        <v>0</v>
      </c>
      <c r="C97" s="18">
        <v>0</v>
      </c>
      <c r="D97" s="18">
        <v>0</v>
      </c>
      <c r="E97" s="18">
        <v>0</v>
      </c>
      <c r="F97" s="18">
        <v>0</v>
      </c>
      <c r="G97" s="18">
        <v>0</v>
      </c>
      <c r="H97" s="18">
        <v>0</v>
      </c>
      <c r="I97" s="18">
        <v>0</v>
      </c>
      <c r="J97" s="18">
        <v>0</v>
      </c>
      <c r="K97" s="18">
        <v>0</v>
      </c>
      <c r="L97" s="18">
        <v>0</v>
      </c>
      <c r="M97" s="18">
        <v>0</v>
      </c>
      <c r="N97" s="18">
        <v>0</v>
      </c>
      <c r="O97" s="18">
        <v>0</v>
      </c>
      <c r="P97" s="18">
        <v>0</v>
      </c>
      <c r="Q97" s="18">
        <v>0</v>
      </c>
      <c r="R97" s="18">
        <v>0</v>
      </c>
      <c r="S97" s="18">
        <v>0</v>
      </c>
      <c r="T97" s="18">
        <v>0</v>
      </c>
      <c r="U97" s="18">
        <v>0</v>
      </c>
      <c r="V97" s="18">
        <v>0</v>
      </c>
      <c r="W97" s="18">
        <v>0</v>
      </c>
      <c r="X97" s="18">
        <v>0</v>
      </c>
      <c r="Y97" s="18">
        <v>0</v>
      </c>
      <c r="Z97" s="18">
        <v>0</v>
      </c>
      <c r="AA97" s="18">
        <v>0</v>
      </c>
      <c r="AB97" s="18">
        <v>0</v>
      </c>
      <c r="AC97" s="18">
        <v>0</v>
      </c>
      <c r="AD97" s="18">
        <v>0</v>
      </c>
      <c r="AE97" s="18">
        <v>0</v>
      </c>
      <c r="AF97" s="18">
        <v>0</v>
      </c>
      <c r="AG97" s="18"/>
      <c r="AH97" s="18">
        <f t="shared" si="47"/>
        <v>0</v>
      </c>
      <c r="AI97" s="18">
        <v>0</v>
      </c>
      <c r="AJ97" s="18">
        <f t="shared" si="30"/>
        <v>0</v>
      </c>
      <c r="AK97" s="18">
        <v>0</v>
      </c>
      <c r="AL97" s="18"/>
      <c r="AM97" s="18">
        <f t="shared" si="45"/>
        <v>0</v>
      </c>
      <c r="AN97" s="8">
        <f t="shared" si="31"/>
        <v>0</v>
      </c>
      <c r="AO97" s="18"/>
      <c r="AP97" s="7">
        <f t="shared" si="35"/>
        <v>662399.99999999988</v>
      </c>
      <c r="AQ97" s="8">
        <f t="shared" si="36"/>
        <v>0</v>
      </c>
      <c r="AR97" s="8">
        <f t="shared" si="37"/>
        <v>0</v>
      </c>
      <c r="AS97" s="23"/>
      <c r="AT97" s="18">
        <f t="shared" si="29"/>
        <v>0</v>
      </c>
      <c r="AU97" s="8">
        <f t="shared" si="32"/>
        <v>0</v>
      </c>
      <c r="AV97" s="18"/>
      <c r="AW97" s="23">
        <f t="shared" si="38"/>
        <v>43801200.000000007</v>
      </c>
      <c r="AX97" s="23">
        <f t="shared" si="46"/>
        <v>0</v>
      </c>
      <c r="AY97" s="8">
        <f t="shared" si="39"/>
        <v>0</v>
      </c>
      <c r="AZ97" s="23"/>
      <c r="BA97">
        <f t="shared" si="40"/>
        <v>92</v>
      </c>
      <c r="BB97" s="18">
        <f t="shared" si="33"/>
        <v>0</v>
      </c>
      <c r="BC97">
        <f t="shared" si="41"/>
        <v>0</v>
      </c>
      <c r="BD97">
        <f t="shared" si="34"/>
        <v>0</v>
      </c>
      <c r="BF97">
        <f t="shared" si="42"/>
        <v>92</v>
      </c>
      <c r="BG97" s="18">
        <f t="shared" si="43"/>
        <v>0</v>
      </c>
      <c r="BH97">
        <f t="shared" si="44"/>
        <v>0</v>
      </c>
    </row>
    <row r="98" spans="1:60" x14ac:dyDescent="0.3">
      <c r="A98">
        <v>93</v>
      </c>
      <c r="B98" s="18">
        <v>0</v>
      </c>
      <c r="C98" s="18">
        <v>0</v>
      </c>
      <c r="D98" s="18">
        <v>0</v>
      </c>
      <c r="E98" s="18">
        <v>0</v>
      </c>
      <c r="F98" s="18">
        <v>0</v>
      </c>
      <c r="G98" s="18">
        <v>0</v>
      </c>
      <c r="H98" s="18">
        <v>0</v>
      </c>
      <c r="I98" s="18">
        <v>0</v>
      </c>
      <c r="J98" s="18">
        <v>0</v>
      </c>
      <c r="K98" s="18">
        <v>0</v>
      </c>
      <c r="L98" s="18">
        <v>0</v>
      </c>
      <c r="M98" s="18">
        <v>0</v>
      </c>
      <c r="N98" s="18">
        <v>0</v>
      </c>
      <c r="O98" s="18">
        <v>0</v>
      </c>
      <c r="P98" s="18">
        <v>0</v>
      </c>
      <c r="Q98" s="18">
        <v>0</v>
      </c>
      <c r="R98" s="18">
        <v>0</v>
      </c>
      <c r="S98" s="18">
        <v>0</v>
      </c>
      <c r="T98" s="18">
        <v>0</v>
      </c>
      <c r="U98" s="18">
        <v>0</v>
      </c>
      <c r="V98" s="18">
        <v>0</v>
      </c>
      <c r="W98" s="18">
        <v>0</v>
      </c>
      <c r="X98" s="18">
        <v>0</v>
      </c>
      <c r="Y98" s="18">
        <v>0</v>
      </c>
      <c r="Z98" s="18">
        <v>0</v>
      </c>
      <c r="AA98" s="18">
        <v>0</v>
      </c>
      <c r="AB98" s="18">
        <v>0</v>
      </c>
      <c r="AC98" s="18">
        <v>0</v>
      </c>
      <c r="AD98" s="18">
        <v>0</v>
      </c>
      <c r="AE98" s="18">
        <v>0</v>
      </c>
      <c r="AF98" s="18">
        <v>0</v>
      </c>
      <c r="AH98" s="18">
        <f t="shared" si="47"/>
        <v>0</v>
      </c>
      <c r="AI98" s="18">
        <v>0</v>
      </c>
      <c r="AJ98" s="18">
        <f>SUM(AH98:AI98)</f>
        <v>0</v>
      </c>
      <c r="AK98" s="18">
        <v>0</v>
      </c>
      <c r="AL98" s="18"/>
      <c r="AM98" s="18">
        <f t="shared" si="45"/>
        <v>0</v>
      </c>
      <c r="AN98" s="8">
        <f t="shared" si="31"/>
        <v>0</v>
      </c>
      <c r="AO98" s="18"/>
      <c r="AP98" s="7">
        <f t="shared" si="35"/>
        <v>669599.99999999988</v>
      </c>
      <c r="AQ98" s="8">
        <f t="shared" si="36"/>
        <v>0</v>
      </c>
      <c r="AR98" s="8">
        <f t="shared" si="37"/>
        <v>0</v>
      </c>
      <c r="AS98" s="23"/>
      <c r="AT98" s="497">
        <f>AT114*AM98/AT$3</f>
        <v>0</v>
      </c>
      <c r="AU98" s="8">
        <f t="shared" si="32"/>
        <v>0</v>
      </c>
      <c r="AV98" s="18"/>
      <c r="AW98" s="23">
        <f t="shared" si="38"/>
        <v>44277300.000000007</v>
      </c>
      <c r="AX98" s="23">
        <f t="shared" si="46"/>
        <v>0</v>
      </c>
      <c r="AY98" s="8">
        <f t="shared" si="39"/>
        <v>0</v>
      </c>
      <c r="AZ98" s="23"/>
      <c r="BA98">
        <f t="shared" si="40"/>
        <v>93</v>
      </c>
      <c r="BB98" s="18">
        <f t="shared" si="33"/>
        <v>0</v>
      </c>
      <c r="BC98">
        <f t="shared" si="41"/>
        <v>0</v>
      </c>
      <c r="BD98">
        <f t="shared" si="34"/>
        <v>0</v>
      </c>
      <c r="BF98">
        <f t="shared" si="42"/>
        <v>93</v>
      </c>
      <c r="BG98" s="18">
        <f t="shared" si="43"/>
        <v>0</v>
      </c>
      <c r="BH98">
        <f t="shared" si="44"/>
        <v>0</v>
      </c>
    </row>
    <row r="99" spans="1:60" x14ac:dyDescent="0.3">
      <c r="A99">
        <v>94</v>
      </c>
      <c r="B99" s="18">
        <v>0</v>
      </c>
      <c r="C99" s="18">
        <v>0</v>
      </c>
      <c r="D99" s="18">
        <v>0</v>
      </c>
      <c r="E99" s="18">
        <v>0</v>
      </c>
      <c r="F99" s="18">
        <v>0</v>
      </c>
      <c r="G99" s="18">
        <v>0</v>
      </c>
      <c r="H99" s="18">
        <v>0</v>
      </c>
      <c r="I99" s="18">
        <v>0</v>
      </c>
      <c r="J99" s="18">
        <v>0</v>
      </c>
      <c r="K99" s="18">
        <v>0</v>
      </c>
      <c r="L99" s="18">
        <v>0</v>
      </c>
      <c r="M99" s="18">
        <v>0</v>
      </c>
      <c r="N99" s="18">
        <v>0</v>
      </c>
      <c r="O99" s="18">
        <v>0</v>
      </c>
      <c r="P99" s="18">
        <v>0</v>
      </c>
      <c r="Q99" s="18">
        <v>0</v>
      </c>
      <c r="R99" s="18">
        <v>0</v>
      </c>
      <c r="S99" s="18">
        <v>0</v>
      </c>
      <c r="T99" s="18">
        <v>0</v>
      </c>
      <c r="U99" s="18">
        <v>0</v>
      </c>
      <c r="V99" s="18">
        <v>0</v>
      </c>
      <c r="W99" s="18">
        <v>0</v>
      </c>
      <c r="X99" s="18">
        <v>0</v>
      </c>
      <c r="Y99" s="18">
        <v>0</v>
      </c>
      <c r="Z99" s="18">
        <v>0</v>
      </c>
      <c r="AA99" s="18">
        <v>0</v>
      </c>
      <c r="AB99" s="18">
        <v>0</v>
      </c>
      <c r="AC99" s="18">
        <v>0</v>
      </c>
      <c r="AD99" s="18">
        <v>0</v>
      </c>
      <c r="AE99" s="18">
        <v>0</v>
      </c>
      <c r="AF99" s="18">
        <v>0</v>
      </c>
      <c r="AG99" s="18"/>
      <c r="AH99" s="18">
        <f t="shared" si="47"/>
        <v>0</v>
      </c>
      <c r="AI99" s="18">
        <v>0</v>
      </c>
      <c r="AJ99" s="18">
        <f t="shared" si="30"/>
        <v>0</v>
      </c>
      <c r="AK99" s="18">
        <v>0</v>
      </c>
      <c r="AL99" s="18"/>
      <c r="AM99" s="18">
        <f t="shared" si="45"/>
        <v>0</v>
      </c>
      <c r="AN99" s="8">
        <f t="shared" si="31"/>
        <v>0</v>
      </c>
      <c r="AO99" s="18"/>
      <c r="AP99" s="7">
        <f t="shared" si="35"/>
        <v>676799.99999999988</v>
      </c>
      <c r="AQ99" s="8">
        <f t="shared" si="36"/>
        <v>0</v>
      </c>
      <c r="AR99" s="8">
        <f t="shared" si="37"/>
        <v>0</v>
      </c>
      <c r="AS99" s="23"/>
      <c r="AT99" s="18">
        <f t="shared" si="29"/>
        <v>0</v>
      </c>
      <c r="AU99" s="8">
        <f t="shared" si="32"/>
        <v>0</v>
      </c>
      <c r="AV99" s="18"/>
      <c r="AW99" s="23">
        <f t="shared" si="38"/>
        <v>44753400.000000007</v>
      </c>
      <c r="AX99" s="23">
        <f t="shared" si="46"/>
        <v>0</v>
      </c>
      <c r="AY99" s="8">
        <f t="shared" si="39"/>
        <v>0</v>
      </c>
      <c r="AZ99" s="23"/>
      <c r="BA99">
        <f t="shared" si="40"/>
        <v>94</v>
      </c>
      <c r="BB99" s="18">
        <f t="shared" si="33"/>
        <v>0</v>
      </c>
      <c r="BC99">
        <f t="shared" si="41"/>
        <v>0</v>
      </c>
      <c r="BD99">
        <f t="shared" si="34"/>
        <v>0</v>
      </c>
      <c r="BF99">
        <f t="shared" si="42"/>
        <v>94</v>
      </c>
      <c r="BG99" s="18">
        <f t="shared" si="43"/>
        <v>0</v>
      </c>
      <c r="BH99">
        <f t="shared" si="44"/>
        <v>0</v>
      </c>
    </row>
    <row r="100" spans="1:60" x14ac:dyDescent="0.3">
      <c r="A100">
        <v>95</v>
      </c>
      <c r="B100" s="18">
        <v>0</v>
      </c>
      <c r="C100" s="18">
        <v>0</v>
      </c>
      <c r="D100" s="18">
        <v>0</v>
      </c>
      <c r="E100" s="18">
        <v>0</v>
      </c>
      <c r="F100" s="18">
        <v>0</v>
      </c>
      <c r="G100" s="18">
        <v>0</v>
      </c>
      <c r="H100" s="18">
        <v>0</v>
      </c>
      <c r="I100" s="18">
        <v>0</v>
      </c>
      <c r="J100" s="18">
        <v>0</v>
      </c>
      <c r="K100" s="18">
        <v>0</v>
      </c>
      <c r="L100" s="18">
        <v>0</v>
      </c>
      <c r="M100" s="18">
        <v>0</v>
      </c>
      <c r="N100" s="18">
        <v>0</v>
      </c>
      <c r="O100" s="18">
        <v>0</v>
      </c>
      <c r="P100" s="18">
        <v>0</v>
      </c>
      <c r="Q100" s="18">
        <v>0</v>
      </c>
      <c r="R100" s="18">
        <v>0</v>
      </c>
      <c r="S100" s="18">
        <v>0</v>
      </c>
      <c r="T100" s="18">
        <v>0</v>
      </c>
      <c r="U100" s="18">
        <v>0</v>
      </c>
      <c r="V100" s="18">
        <v>0</v>
      </c>
      <c r="W100" s="18">
        <v>0</v>
      </c>
      <c r="X100" s="18">
        <v>0</v>
      </c>
      <c r="Y100" s="18">
        <v>0</v>
      </c>
      <c r="Z100" s="18">
        <v>0</v>
      </c>
      <c r="AA100" s="18">
        <v>0</v>
      </c>
      <c r="AB100" s="18">
        <v>0</v>
      </c>
      <c r="AC100" s="18">
        <v>0</v>
      </c>
      <c r="AD100" s="18">
        <v>0</v>
      </c>
      <c r="AE100" s="18">
        <v>0</v>
      </c>
      <c r="AF100" s="18">
        <v>0</v>
      </c>
      <c r="AG100" s="18"/>
      <c r="AH100" s="18">
        <f t="shared" si="47"/>
        <v>0</v>
      </c>
      <c r="AI100" s="18">
        <v>0</v>
      </c>
      <c r="AJ100" s="18">
        <f t="shared" si="30"/>
        <v>0</v>
      </c>
      <c r="AK100" s="18">
        <v>0</v>
      </c>
      <c r="AL100" s="18"/>
      <c r="AM100" s="18">
        <f t="shared" si="45"/>
        <v>0</v>
      </c>
      <c r="AN100" s="8">
        <f t="shared" si="31"/>
        <v>0</v>
      </c>
      <c r="AO100" s="18"/>
      <c r="AP100" s="7">
        <f t="shared" si="35"/>
        <v>683999.99999999988</v>
      </c>
      <c r="AQ100" s="8">
        <f t="shared" si="36"/>
        <v>0</v>
      </c>
      <c r="AR100" s="8">
        <f t="shared" si="37"/>
        <v>0</v>
      </c>
      <c r="AS100" s="23"/>
      <c r="AT100" s="18">
        <f t="shared" si="29"/>
        <v>0</v>
      </c>
      <c r="AU100" s="8">
        <f t="shared" si="32"/>
        <v>0</v>
      </c>
      <c r="AV100" s="18"/>
      <c r="AW100" s="23">
        <f t="shared" si="38"/>
        <v>45229500.000000007</v>
      </c>
      <c r="AX100" s="23">
        <f t="shared" si="46"/>
        <v>0</v>
      </c>
      <c r="AY100" s="8">
        <f t="shared" si="39"/>
        <v>0</v>
      </c>
      <c r="AZ100" s="23"/>
      <c r="BA100">
        <f t="shared" si="40"/>
        <v>95</v>
      </c>
      <c r="BB100" s="18">
        <f t="shared" si="33"/>
        <v>0</v>
      </c>
      <c r="BC100">
        <f t="shared" si="41"/>
        <v>0</v>
      </c>
      <c r="BD100">
        <f t="shared" si="34"/>
        <v>0</v>
      </c>
      <c r="BF100">
        <f t="shared" si="42"/>
        <v>95</v>
      </c>
      <c r="BG100" s="18">
        <f t="shared" si="43"/>
        <v>0</v>
      </c>
      <c r="BH100">
        <f t="shared" si="44"/>
        <v>0</v>
      </c>
    </row>
    <row r="101" spans="1:60" x14ac:dyDescent="0.3">
      <c r="A101">
        <v>96</v>
      </c>
      <c r="B101" s="18">
        <v>0</v>
      </c>
      <c r="C101" s="18">
        <v>0</v>
      </c>
      <c r="D101" s="18">
        <v>0</v>
      </c>
      <c r="E101" s="18">
        <v>0</v>
      </c>
      <c r="F101" s="18">
        <v>0</v>
      </c>
      <c r="G101" s="18">
        <v>0</v>
      </c>
      <c r="H101" s="18">
        <v>0</v>
      </c>
      <c r="I101" s="18">
        <v>0</v>
      </c>
      <c r="J101" s="18">
        <v>0</v>
      </c>
      <c r="K101" s="18">
        <v>0</v>
      </c>
      <c r="L101" s="18">
        <v>0</v>
      </c>
      <c r="M101" s="18">
        <v>0</v>
      </c>
      <c r="N101" s="18">
        <v>0</v>
      </c>
      <c r="O101" s="18">
        <v>0</v>
      </c>
      <c r="P101" s="18">
        <v>0</v>
      </c>
      <c r="Q101" s="18">
        <v>0</v>
      </c>
      <c r="R101" s="18">
        <v>0</v>
      </c>
      <c r="S101" s="18">
        <v>0</v>
      </c>
      <c r="T101" s="18">
        <v>0</v>
      </c>
      <c r="U101" s="18">
        <v>0</v>
      </c>
      <c r="V101" s="18">
        <v>0</v>
      </c>
      <c r="W101" s="18">
        <v>0</v>
      </c>
      <c r="X101" s="18">
        <v>0</v>
      </c>
      <c r="Y101" s="18">
        <v>0</v>
      </c>
      <c r="Z101" s="18">
        <v>0</v>
      </c>
      <c r="AA101" s="18">
        <v>0</v>
      </c>
      <c r="AB101" s="18">
        <v>0</v>
      </c>
      <c r="AC101" s="18">
        <v>0</v>
      </c>
      <c r="AD101" s="18">
        <v>0</v>
      </c>
      <c r="AE101" s="18">
        <v>0</v>
      </c>
      <c r="AF101" s="18">
        <v>0</v>
      </c>
      <c r="AH101" s="18">
        <f t="shared" si="47"/>
        <v>0</v>
      </c>
      <c r="AI101" s="18">
        <v>0</v>
      </c>
      <c r="AJ101" s="18">
        <f>SUM(AH101:AI101)</f>
        <v>0</v>
      </c>
      <c r="AK101" s="18">
        <v>0</v>
      </c>
      <c r="AL101" s="18"/>
      <c r="AM101" s="18">
        <f t="shared" si="45"/>
        <v>0</v>
      </c>
      <c r="AN101" s="8">
        <f t="shared" si="31"/>
        <v>0</v>
      </c>
      <c r="AO101" s="18"/>
      <c r="AP101" s="7">
        <f t="shared" si="35"/>
        <v>691199.99999999988</v>
      </c>
      <c r="AQ101" s="8">
        <f t="shared" si="36"/>
        <v>0</v>
      </c>
      <c r="AR101" s="8">
        <f t="shared" si="37"/>
        <v>0</v>
      </c>
      <c r="AS101" s="23"/>
      <c r="AT101" s="497">
        <f>AT114*AM101/AT$3</f>
        <v>0</v>
      </c>
      <c r="AU101" s="8">
        <f t="shared" si="32"/>
        <v>0</v>
      </c>
      <c r="AV101" s="18"/>
      <c r="AW101" s="23">
        <f t="shared" si="38"/>
        <v>45705600.000000007</v>
      </c>
      <c r="AX101" s="23">
        <f t="shared" si="46"/>
        <v>0</v>
      </c>
      <c r="AY101" s="8">
        <f t="shared" si="39"/>
        <v>0</v>
      </c>
      <c r="AZ101" s="23"/>
      <c r="BA101">
        <f t="shared" si="40"/>
        <v>96</v>
      </c>
      <c r="BB101" s="18">
        <f t="shared" si="33"/>
        <v>0</v>
      </c>
      <c r="BC101">
        <f t="shared" si="41"/>
        <v>0</v>
      </c>
      <c r="BD101">
        <f t="shared" si="34"/>
        <v>0</v>
      </c>
      <c r="BF101">
        <f t="shared" si="42"/>
        <v>96</v>
      </c>
      <c r="BG101" s="18">
        <f t="shared" si="43"/>
        <v>0</v>
      </c>
      <c r="BH101">
        <f t="shared" si="44"/>
        <v>0</v>
      </c>
    </row>
    <row r="102" spans="1:60" x14ac:dyDescent="0.3">
      <c r="A102">
        <v>97</v>
      </c>
      <c r="B102" s="18">
        <v>0</v>
      </c>
      <c r="C102" s="18">
        <v>0</v>
      </c>
      <c r="D102" s="18">
        <v>0</v>
      </c>
      <c r="E102" s="18">
        <v>0</v>
      </c>
      <c r="F102" s="18">
        <v>0</v>
      </c>
      <c r="G102" s="18">
        <v>0</v>
      </c>
      <c r="H102" s="18">
        <v>0</v>
      </c>
      <c r="I102" s="18">
        <v>0</v>
      </c>
      <c r="J102" s="18">
        <v>0</v>
      </c>
      <c r="K102" s="18">
        <v>0</v>
      </c>
      <c r="L102" s="18">
        <v>0</v>
      </c>
      <c r="M102" s="18">
        <v>0</v>
      </c>
      <c r="N102" s="18">
        <v>0</v>
      </c>
      <c r="O102" s="18">
        <v>0</v>
      </c>
      <c r="P102" s="18">
        <v>0</v>
      </c>
      <c r="Q102" s="18">
        <v>0</v>
      </c>
      <c r="R102" s="18">
        <v>0</v>
      </c>
      <c r="S102" s="18">
        <v>0</v>
      </c>
      <c r="T102" s="18">
        <v>0</v>
      </c>
      <c r="U102" s="18">
        <v>0</v>
      </c>
      <c r="V102" s="18">
        <v>0</v>
      </c>
      <c r="W102" s="18">
        <v>0</v>
      </c>
      <c r="X102" s="18">
        <v>0</v>
      </c>
      <c r="Y102" s="18">
        <v>0</v>
      </c>
      <c r="Z102" s="18">
        <v>0</v>
      </c>
      <c r="AA102" s="18">
        <v>0</v>
      </c>
      <c r="AB102" s="18">
        <v>0</v>
      </c>
      <c r="AC102" s="18">
        <v>0</v>
      </c>
      <c r="AD102" s="18">
        <v>0</v>
      </c>
      <c r="AE102" s="18">
        <v>0</v>
      </c>
      <c r="AF102" s="18">
        <v>0</v>
      </c>
      <c r="AG102" s="18"/>
      <c r="AH102" s="18">
        <f t="shared" si="47"/>
        <v>0</v>
      </c>
      <c r="AI102" s="18">
        <v>0</v>
      </c>
      <c r="AJ102" s="18">
        <f t="shared" si="30"/>
        <v>0</v>
      </c>
      <c r="AK102" s="18">
        <v>0</v>
      </c>
      <c r="AL102" s="18"/>
      <c r="AM102" s="18">
        <f t="shared" si="45"/>
        <v>0</v>
      </c>
      <c r="AN102" s="8">
        <f t="shared" si="31"/>
        <v>0</v>
      </c>
      <c r="AO102" s="18"/>
      <c r="AP102" s="7">
        <f t="shared" si="35"/>
        <v>698399.99999999988</v>
      </c>
      <c r="AQ102" s="8">
        <f t="shared" si="36"/>
        <v>0</v>
      </c>
      <c r="AR102" s="8">
        <f t="shared" si="37"/>
        <v>0</v>
      </c>
      <c r="AS102" s="23"/>
      <c r="AT102" s="18">
        <f t="shared" si="29"/>
        <v>0</v>
      </c>
      <c r="AU102" s="8">
        <f t="shared" si="32"/>
        <v>0</v>
      </c>
      <c r="AV102" s="18"/>
      <c r="AW102" s="23">
        <f t="shared" si="38"/>
        <v>46181700.000000007</v>
      </c>
      <c r="AX102" s="23">
        <f t="shared" si="46"/>
        <v>0</v>
      </c>
      <c r="AY102" s="8">
        <f t="shared" si="39"/>
        <v>0</v>
      </c>
      <c r="AZ102" s="23"/>
      <c r="BA102">
        <f t="shared" si="40"/>
        <v>97</v>
      </c>
      <c r="BB102" s="18">
        <f t="shared" si="33"/>
        <v>0</v>
      </c>
      <c r="BC102">
        <f t="shared" si="41"/>
        <v>0</v>
      </c>
      <c r="BD102">
        <f t="shared" si="34"/>
        <v>0</v>
      </c>
      <c r="BF102">
        <f t="shared" si="42"/>
        <v>97</v>
      </c>
      <c r="BG102" s="18">
        <f t="shared" si="43"/>
        <v>0</v>
      </c>
      <c r="BH102">
        <f t="shared" si="44"/>
        <v>0</v>
      </c>
    </row>
    <row r="103" spans="1:60" x14ac:dyDescent="0.3">
      <c r="A103">
        <v>98</v>
      </c>
      <c r="B103" s="18">
        <v>0</v>
      </c>
      <c r="C103" s="18">
        <v>0</v>
      </c>
      <c r="D103" s="18">
        <v>0</v>
      </c>
      <c r="E103" s="18">
        <v>0</v>
      </c>
      <c r="F103" s="18">
        <v>0</v>
      </c>
      <c r="G103" s="18">
        <v>0</v>
      </c>
      <c r="H103" s="18">
        <v>0</v>
      </c>
      <c r="I103" s="18">
        <v>0</v>
      </c>
      <c r="J103" s="18">
        <v>0</v>
      </c>
      <c r="K103" s="18">
        <v>0</v>
      </c>
      <c r="L103" s="18">
        <v>0</v>
      </c>
      <c r="M103" s="18">
        <v>0</v>
      </c>
      <c r="N103" s="18">
        <v>0</v>
      </c>
      <c r="O103" s="18">
        <v>0</v>
      </c>
      <c r="P103" s="18">
        <v>0</v>
      </c>
      <c r="Q103" s="18">
        <v>0</v>
      </c>
      <c r="R103" s="18">
        <v>0</v>
      </c>
      <c r="S103" s="18">
        <v>0</v>
      </c>
      <c r="T103" s="18">
        <v>0</v>
      </c>
      <c r="U103" s="18">
        <v>0</v>
      </c>
      <c r="V103" s="18">
        <v>0</v>
      </c>
      <c r="W103" s="18">
        <v>0</v>
      </c>
      <c r="X103" s="18">
        <v>0</v>
      </c>
      <c r="Y103" s="18">
        <v>0</v>
      </c>
      <c r="Z103" s="18">
        <v>0</v>
      </c>
      <c r="AA103" s="18">
        <v>0</v>
      </c>
      <c r="AB103" s="18">
        <v>0</v>
      </c>
      <c r="AC103" s="18">
        <v>0</v>
      </c>
      <c r="AD103" s="18">
        <v>0</v>
      </c>
      <c r="AE103" s="18">
        <v>0</v>
      </c>
      <c r="AF103" s="18">
        <v>0</v>
      </c>
      <c r="AG103" s="18"/>
      <c r="AH103" s="18">
        <f t="shared" si="47"/>
        <v>0</v>
      </c>
      <c r="AI103" s="18">
        <v>0</v>
      </c>
      <c r="AJ103" s="18">
        <f t="shared" si="30"/>
        <v>0</v>
      </c>
      <c r="AK103" s="18">
        <v>0</v>
      </c>
      <c r="AL103" s="18"/>
      <c r="AM103" s="18">
        <f t="shared" si="45"/>
        <v>0</v>
      </c>
      <c r="AN103" s="8">
        <f t="shared" si="31"/>
        <v>0</v>
      </c>
      <c r="AO103" s="18"/>
      <c r="AP103" s="7">
        <f t="shared" si="35"/>
        <v>705599.99999999988</v>
      </c>
      <c r="AQ103" s="8">
        <f t="shared" ref="AQ103:AQ105" si="48">AM103*AP103/1000000</f>
        <v>0</v>
      </c>
      <c r="AR103" s="8">
        <f t="shared" si="37"/>
        <v>0</v>
      </c>
      <c r="AS103" s="23"/>
      <c r="AT103" s="18">
        <f t="shared" si="29"/>
        <v>0</v>
      </c>
      <c r="AU103" s="8">
        <f t="shared" si="32"/>
        <v>0</v>
      </c>
      <c r="AV103" s="18"/>
      <c r="AW103" s="23">
        <f t="shared" si="38"/>
        <v>46657800.000000007</v>
      </c>
      <c r="AX103" s="23">
        <f t="shared" si="46"/>
        <v>0</v>
      </c>
      <c r="AY103" s="8">
        <f t="shared" si="39"/>
        <v>0</v>
      </c>
      <c r="AZ103" s="23"/>
      <c r="BA103">
        <f t="shared" si="40"/>
        <v>98</v>
      </c>
      <c r="BB103" s="18">
        <f t="shared" si="33"/>
        <v>0</v>
      </c>
      <c r="BC103">
        <f t="shared" si="41"/>
        <v>0</v>
      </c>
      <c r="BD103">
        <f t="shared" si="34"/>
        <v>0</v>
      </c>
      <c r="BF103">
        <f t="shared" si="42"/>
        <v>98</v>
      </c>
      <c r="BG103" s="18">
        <f t="shared" si="43"/>
        <v>0</v>
      </c>
      <c r="BH103">
        <f t="shared" si="44"/>
        <v>0</v>
      </c>
    </row>
    <row r="104" spans="1:60" x14ac:dyDescent="0.3">
      <c r="A104">
        <v>99</v>
      </c>
      <c r="B104" s="18">
        <v>0</v>
      </c>
      <c r="C104" s="18">
        <v>0</v>
      </c>
      <c r="D104" s="18">
        <v>0</v>
      </c>
      <c r="E104" s="18">
        <v>0</v>
      </c>
      <c r="F104" s="18">
        <v>0</v>
      </c>
      <c r="G104" s="18">
        <v>0</v>
      </c>
      <c r="H104" s="18">
        <v>0</v>
      </c>
      <c r="I104" s="18">
        <v>0</v>
      </c>
      <c r="J104" s="18">
        <v>0</v>
      </c>
      <c r="K104" s="18">
        <v>0</v>
      </c>
      <c r="L104" s="18">
        <v>0</v>
      </c>
      <c r="M104" s="18">
        <v>0</v>
      </c>
      <c r="N104" s="18">
        <v>0</v>
      </c>
      <c r="O104" s="18">
        <v>0</v>
      </c>
      <c r="P104" s="18">
        <v>0</v>
      </c>
      <c r="Q104" s="18">
        <v>0</v>
      </c>
      <c r="R104" s="18">
        <v>0</v>
      </c>
      <c r="S104" s="18">
        <v>0</v>
      </c>
      <c r="T104" s="18">
        <v>0</v>
      </c>
      <c r="U104" s="18">
        <v>0</v>
      </c>
      <c r="V104" s="18">
        <v>0</v>
      </c>
      <c r="W104" s="18">
        <v>0</v>
      </c>
      <c r="X104" s="18">
        <v>0</v>
      </c>
      <c r="Y104" s="18">
        <v>0</v>
      </c>
      <c r="Z104" s="18">
        <v>0</v>
      </c>
      <c r="AA104" s="18">
        <v>0</v>
      </c>
      <c r="AB104" s="18">
        <v>0</v>
      </c>
      <c r="AC104" s="18">
        <v>0</v>
      </c>
      <c r="AD104" s="18">
        <v>0</v>
      </c>
      <c r="AE104" s="18">
        <v>0</v>
      </c>
      <c r="AF104" s="18">
        <v>0</v>
      </c>
      <c r="AH104" s="18">
        <f t="shared" si="47"/>
        <v>0</v>
      </c>
      <c r="AI104" s="18">
        <v>0</v>
      </c>
      <c r="AJ104" s="18">
        <f>SUM(AH104:AI104)</f>
        <v>0</v>
      </c>
      <c r="AK104" s="18">
        <v>0</v>
      </c>
      <c r="AL104" s="18"/>
      <c r="AM104" s="18">
        <f t="shared" si="45"/>
        <v>0</v>
      </c>
      <c r="AN104" s="8">
        <f t="shared" si="31"/>
        <v>0</v>
      </c>
      <c r="AO104" s="18"/>
      <c r="AP104" s="7">
        <f t="shared" si="35"/>
        <v>712799.99999999988</v>
      </c>
      <c r="AQ104" s="8">
        <f t="shared" si="48"/>
        <v>0</v>
      </c>
      <c r="AR104" s="8">
        <f t="shared" si="37"/>
        <v>0</v>
      </c>
      <c r="AS104" s="23"/>
      <c r="AT104" s="497">
        <f>AT114*AM104/AT$3</f>
        <v>0</v>
      </c>
      <c r="AU104" s="8">
        <f t="shared" si="32"/>
        <v>0</v>
      </c>
      <c r="AV104" s="18"/>
      <c r="AW104" s="23">
        <f t="shared" si="38"/>
        <v>47133900.000000007</v>
      </c>
      <c r="AX104" s="23">
        <f t="shared" si="46"/>
        <v>0</v>
      </c>
      <c r="AY104" s="8">
        <f t="shared" si="39"/>
        <v>0</v>
      </c>
      <c r="AZ104" s="23"/>
      <c r="BA104">
        <f t="shared" si="40"/>
        <v>99</v>
      </c>
      <c r="BB104" s="18">
        <f t="shared" si="33"/>
        <v>0</v>
      </c>
      <c r="BC104">
        <f t="shared" si="41"/>
        <v>0</v>
      </c>
      <c r="BD104">
        <f t="shared" si="34"/>
        <v>0</v>
      </c>
      <c r="BF104">
        <f t="shared" si="42"/>
        <v>99</v>
      </c>
      <c r="BG104" s="18">
        <f t="shared" si="43"/>
        <v>0</v>
      </c>
      <c r="BH104">
        <f t="shared" si="44"/>
        <v>0</v>
      </c>
    </row>
    <row r="105" spans="1:60" x14ac:dyDescent="0.3">
      <c r="A105">
        <v>100</v>
      </c>
      <c r="B105" s="18">
        <v>0</v>
      </c>
      <c r="C105" s="18">
        <v>0</v>
      </c>
      <c r="D105" s="18">
        <v>0</v>
      </c>
      <c r="E105" s="18">
        <v>0</v>
      </c>
      <c r="F105" s="18">
        <v>0</v>
      </c>
      <c r="G105" s="18">
        <v>0</v>
      </c>
      <c r="H105" s="18">
        <v>0</v>
      </c>
      <c r="I105" s="18">
        <v>0</v>
      </c>
      <c r="J105" s="18">
        <v>0</v>
      </c>
      <c r="K105" s="18">
        <v>0</v>
      </c>
      <c r="L105" s="18">
        <v>0</v>
      </c>
      <c r="M105" s="18">
        <v>0</v>
      </c>
      <c r="N105" s="18">
        <v>0</v>
      </c>
      <c r="O105" s="18">
        <v>0</v>
      </c>
      <c r="P105" s="18">
        <v>0</v>
      </c>
      <c r="Q105" s="18">
        <v>0</v>
      </c>
      <c r="R105" s="18">
        <v>0</v>
      </c>
      <c r="S105" s="18">
        <v>0</v>
      </c>
      <c r="T105" s="18">
        <v>0</v>
      </c>
      <c r="U105" s="18">
        <v>0</v>
      </c>
      <c r="V105" s="18">
        <v>0</v>
      </c>
      <c r="W105" s="18">
        <v>0</v>
      </c>
      <c r="X105" s="18">
        <v>0</v>
      </c>
      <c r="Y105" s="18">
        <v>0</v>
      </c>
      <c r="Z105" s="18">
        <v>0</v>
      </c>
      <c r="AA105" s="18">
        <v>0</v>
      </c>
      <c r="AB105" s="18">
        <v>0</v>
      </c>
      <c r="AC105" s="18">
        <v>0</v>
      </c>
      <c r="AD105" s="18">
        <v>0</v>
      </c>
      <c r="AE105" s="18">
        <v>0</v>
      </c>
      <c r="AF105" s="18">
        <v>0</v>
      </c>
      <c r="AG105" s="18"/>
      <c r="AH105" s="18">
        <f t="shared" si="47"/>
        <v>0</v>
      </c>
      <c r="AI105" s="18">
        <v>0</v>
      </c>
      <c r="AJ105" s="18">
        <f t="shared" si="30"/>
        <v>0</v>
      </c>
      <c r="AK105" s="18">
        <v>0</v>
      </c>
      <c r="AL105" s="18"/>
      <c r="AM105" s="18">
        <f t="shared" si="45"/>
        <v>0</v>
      </c>
      <c r="AN105" s="8">
        <f t="shared" si="31"/>
        <v>0</v>
      </c>
      <c r="AO105" s="18"/>
      <c r="AP105" s="7">
        <f t="shared" si="35"/>
        <v>719999.99999999988</v>
      </c>
      <c r="AQ105" s="8">
        <f t="shared" si="48"/>
        <v>0</v>
      </c>
      <c r="AR105" s="8">
        <f t="shared" si="37"/>
        <v>0</v>
      </c>
      <c r="AS105" s="23"/>
      <c r="AT105" s="18">
        <f t="shared" si="29"/>
        <v>0</v>
      </c>
      <c r="AU105" s="8">
        <f t="shared" si="32"/>
        <v>0</v>
      </c>
      <c r="AV105" s="18"/>
      <c r="AW105" s="23">
        <f t="shared" si="38"/>
        <v>47610000.000000007</v>
      </c>
      <c r="AX105" s="23">
        <f t="shared" si="46"/>
        <v>0</v>
      </c>
      <c r="AY105" s="8">
        <f t="shared" si="39"/>
        <v>0</v>
      </c>
      <c r="AZ105" s="23"/>
      <c r="BA105">
        <f t="shared" si="40"/>
        <v>100</v>
      </c>
      <c r="BB105" s="18">
        <f t="shared" si="33"/>
        <v>0</v>
      </c>
      <c r="BC105">
        <f t="shared" si="41"/>
        <v>0</v>
      </c>
      <c r="BD105">
        <f t="shared" si="34"/>
        <v>0</v>
      </c>
      <c r="BF105">
        <f t="shared" si="42"/>
        <v>100</v>
      </c>
      <c r="BG105" s="18">
        <f t="shared" si="43"/>
        <v>0</v>
      </c>
      <c r="BH105">
        <f t="shared" si="44"/>
        <v>0</v>
      </c>
    </row>
    <row r="106" spans="1:60" x14ac:dyDescent="0.3">
      <c r="AH106" s="18"/>
      <c r="AT106" s="18"/>
    </row>
    <row r="107" spans="1:60" x14ac:dyDescent="0.3">
      <c r="A107" s="22" t="s">
        <v>52</v>
      </c>
      <c r="B107" s="18">
        <f>SQRT(SUMSQ(B7:B105))</f>
        <v>0</v>
      </c>
      <c r="C107" s="18">
        <f t="shared" ref="C107:AI107" si="49">SQRT(SUMSQ(C7:C105))</f>
        <v>0</v>
      </c>
      <c r="D107" s="18">
        <f t="shared" si="49"/>
        <v>0</v>
      </c>
      <c r="E107" s="18">
        <f t="shared" si="49"/>
        <v>0</v>
      </c>
      <c r="F107" s="18">
        <f t="shared" si="49"/>
        <v>0</v>
      </c>
      <c r="G107" s="18">
        <f t="shared" si="49"/>
        <v>0</v>
      </c>
      <c r="H107" s="18">
        <f t="shared" si="49"/>
        <v>0</v>
      </c>
      <c r="I107" s="18">
        <f>SQRT(SUMSQ(I7:I105))</f>
        <v>0</v>
      </c>
      <c r="J107" s="18">
        <f>SQRT(SUMSQ(J7:J105))</f>
        <v>0</v>
      </c>
      <c r="K107" s="18">
        <f>SQRT(SUMSQ(K7:K105))</f>
        <v>0</v>
      </c>
      <c r="L107" s="18">
        <f t="shared" ref="L107:Q107" si="50">SQRT(SUMSQ(L7:L105))</f>
        <v>0</v>
      </c>
      <c r="M107" s="18">
        <f t="shared" si="50"/>
        <v>0</v>
      </c>
      <c r="N107" s="18">
        <f t="shared" si="50"/>
        <v>0</v>
      </c>
      <c r="O107" s="18">
        <f t="shared" si="50"/>
        <v>0</v>
      </c>
      <c r="P107" s="18">
        <f t="shared" si="50"/>
        <v>0</v>
      </c>
      <c r="Q107" s="18">
        <f t="shared" si="50"/>
        <v>0</v>
      </c>
      <c r="R107" s="18">
        <f>SQRT(SUMSQ(R7:R105))</f>
        <v>0</v>
      </c>
      <c r="S107" s="18">
        <f>SQRT(SUMSQ(S7:S105))</f>
        <v>0</v>
      </c>
      <c r="T107" s="18">
        <f>SQRT(SUMSQ(T7:T105))</f>
        <v>0</v>
      </c>
      <c r="U107" s="18">
        <f t="shared" ref="U107:Z107" si="51">SQRT(SUMSQ(U7:U105))</f>
        <v>0</v>
      </c>
      <c r="V107" s="18">
        <f t="shared" si="51"/>
        <v>0</v>
      </c>
      <c r="W107" s="18">
        <f t="shared" si="51"/>
        <v>0</v>
      </c>
      <c r="X107" s="18">
        <f t="shared" si="51"/>
        <v>0</v>
      </c>
      <c r="Y107" s="18">
        <f t="shared" si="51"/>
        <v>0</v>
      </c>
      <c r="Z107" s="18">
        <f t="shared" si="51"/>
        <v>0</v>
      </c>
      <c r="AA107" s="18">
        <f>SQRT(SUMSQ(AA7:AA105))</f>
        <v>0</v>
      </c>
      <c r="AB107" s="18">
        <f>SQRT(SUMSQ(AB7:AB105))</f>
        <v>0</v>
      </c>
      <c r="AC107" s="18">
        <f t="shared" ref="AC107" si="52">SQRT(SUMSQ(AC7:AC105))</f>
        <v>0</v>
      </c>
      <c r="AD107" s="18">
        <f>SQRT(SUMSQ(AD7:AD105))</f>
        <v>0</v>
      </c>
      <c r="AE107" s="18">
        <f t="shared" si="49"/>
        <v>0</v>
      </c>
      <c r="AF107" s="18">
        <f t="shared" ref="AF107" si="53">SQRT(SUMSQ(AF7:AF105))</f>
        <v>0</v>
      </c>
      <c r="AG107" s="18"/>
      <c r="AH107" s="266">
        <f t="shared" si="49"/>
        <v>0</v>
      </c>
      <c r="AI107" s="18">
        <f t="shared" si="49"/>
        <v>0</v>
      </c>
      <c r="AJ107" s="18">
        <f t="shared" ref="AJ107" si="54">SQRT(SUMSQ(AJ7:AJ105))</f>
        <v>0</v>
      </c>
      <c r="AK107" s="18">
        <f>-SQRT(SUMSQ(AK7:AK105))</f>
        <v>0</v>
      </c>
      <c r="AL107" s="22" t="s">
        <v>52</v>
      </c>
      <c r="AM107" s="266">
        <f t="shared" ref="AM107:AN107" si="55">SQRT(SUMSQ(AM7:AM105))</f>
        <v>0</v>
      </c>
      <c r="AN107" s="18">
        <f t="shared" si="55"/>
        <v>0</v>
      </c>
      <c r="AO107" s="18"/>
      <c r="AP107" s="61" t="s">
        <v>114</v>
      </c>
      <c r="AQ107" s="18">
        <f t="shared" ref="AQ107:AR107" si="56">SQRT(SUMSQ(AQ7:AQ105))</f>
        <v>0</v>
      </c>
      <c r="AR107" s="18">
        <f t="shared" si="56"/>
        <v>0</v>
      </c>
      <c r="AS107" s="22" t="s">
        <v>52</v>
      </c>
      <c r="AT107" s="266">
        <f t="shared" ref="AT107:AX107" si="57">SQRT(SUMSQ(AT7:AT105))</f>
        <v>0</v>
      </c>
      <c r="AU107" s="18">
        <f t="shared" ref="AU107" si="58">SQRT(SUMSQ(AU7:AU105))</f>
        <v>0</v>
      </c>
      <c r="AV107" s="18"/>
      <c r="AW107" s="61" t="s">
        <v>114</v>
      </c>
      <c r="AX107" s="18">
        <f t="shared" si="57"/>
        <v>0</v>
      </c>
      <c r="AY107" s="18">
        <f t="shared" ref="AY107" si="59">SQRT(SUMSQ(AY7:AY105))</f>
        <v>0</v>
      </c>
      <c r="AZ107" s="18"/>
      <c r="BA107" s="22" t="s">
        <v>70</v>
      </c>
      <c r="BB107" s="8">
        <f>SQRT(SUMSQ(BB6:BB105))</f>
        <v>1683.9382851364085</v>
      </c>
      <c r="BC107" s="22" t="s">
        <v>71</v>
      </c>
      <c r="BD107" s="8">
        <f>SUMSQ(BD6:BD105)</f>
        <v>1</v>
      </c>
      <c r="BE107" s="19" t="s">
        <v>120</v>
      </c>
      <c r="BF107" s="19"/>
    </row>
    <row r="108" spans="1:60" x14ac:dyDescent="0.3">
      <c r="A108" s="22" t="s">
        <v>53</v>
      </c>
      <c r="B108" s="18">
        <f>B6</f>
        <v>0</v>
      </c>
      <c r="C108" s="18">
        <f t="shared" ref="C108:AH108" si="60">C6</f>
        <v>0</v>
      </c>
      <c r="D108" s="18">
        <f t="shared" si="60"/>
        <v>0</v>
      </c>
      <c r="E108" s="18">
        <f t="shared" si="60"/>
        <v>0</v>
      </c>
      <c r="F108" s="18">
        <f t="shared" si="60"/>
        <v>0</v>
      </c>
      <c r="G108" s="18">
        <f t="shared" si="60"/>
        <v>0</v>
      </c>
      <c r="H108" s="18">
        <f t="shared" si="60"/>
        <v>0</v>
      </c>
      <c r="I108" s="18">
        <f>I6</f>
        <v>0</v>
      </c>
      <c r="J108" s="18">
        <f>J6</f>
        <v>0</v>
      </c>
      <c r="K108" s="18">
        <f>K6</f>
        <v>0</v>
      </c>
      <c r="L108" s="18">
        <f t="shared" ref="L108:Q108" si="61">L6</f>
        <v>0</v>
      </c>
      <c r="M108" s="18">
        <f t="shared" si="61"/>
        <v>0</v>
      </c>
      <c r="N108" s="18">
        <f t="shared" si="61"/>
        <v>0</v>
      </c>
      <c r="O108" s="18">
        <f t="shared" si="61"/>
        <v>0</v>
      </c>
      <c r="P108" s="18">
        <f t="shared" si="61"/>
        <v>0</v>
      </c>
      <c r="Q108" s="18">
        <f t="shared" si="61"/>
        <v>0</v>
      </c>
      <c r="R108" s="18">
        <f>R6</f>
        <v>0</v>
      </c>
      <c r="S108" s="18">
        <f>S6</f>
        <v>0</v>
      </c>
      <c r="T108" s="18">
        <f>T6</f>
        <v>0</v>
      </c>
      <c r="U108" s="18">
        <f t="shared" ref="U108:Z108" si="62">U6</f>
        <v>0</v>
      </c>
      <c r="V108" s="18">
        <f t="shared" si="62"/>
        <v>0</v>
      </c>
      <c r="W108" s="18">
        <f t="shared" si="62"/>
        <v>0</v>
      </c>
      <c r="X108" s="18">
        <f t="shared" si="62"/>
        <v>0</v>
      </c>
      <c r="Y108" s="18">
        <f t="shared" si="62"/>
        <v>0</v>
      </c>
      <c r="Z108" s="18">
        <f t="shared" si="62"/>
        <v>0</v>
      </c>
      <c r="AA108" s="18">
        <f>AA6</f>
        <v>0</v>
      </c>
      <c r="AB108" s="18">
        <f>AB6</f>
        <v>0</v>
      </c>
      <c r="AC108" s="18">
        <f t="shared" ref="AC108" si="63">AC6</f>
        <v>0</v>
      </c>
      <c r="AD108" s="18">
        <f>AD6</f>
        <v>0</v>
      </c>
      <c r="AE108" s="18">
        <f t="shared" si="60"/>
        <v>0</v>
      </c>
      <c r="AF108" s="18">
        <f t="shared" ref="AF108" si="64">AF6</f>
        <v>0</v>
      </c>
      <c r="AG108" s="18"/>
      <c r="AH108" s="18">
        <f t="shared" si="60"/>
        <v>0</v>
      </c>
      <c r="AI108" s="18">
        <f>AI6</f>
        <v>1683.9382851364085</v>
      </c>
      <c r="AJ108" s="18">
        <f>AJ6</f>
        <v>1683.9382851364085</v>
      </c>
      <c r="AK108" s="18">
        <f>AK6</f>
        <v>0</v>
      </c>
      <c r="AL108" s="22" t="s">
        <v>53</v>
      </c>
      <c r="AM108" s="18">
        <f t="shared" ref="AM108:AN108" si="65">AM6</f>
        <v>1683.9382851364085</v>
      </c>
      <c r="AN108" s="18">
        <f t="shared" si="65"/>
        <v>100</v>
      </c>
      <c r="AO108" s="18"/>
      <c r="AP108" s="61" t="s">
        <v>115</v>
      </c>
      <c r="AQ108" s="18">
        <f t="shared" ref="AQ108:AR108" si="66">AQ6</f>
        <v>277.12812921102039</v>
      </c>
      <c r="AR108" s="18">
        <f t="shared" si="66"/>
        <v>100</v>
      </c>
      <c r="AS108" s="22" t="s">
        <v>53</v>
      </c>
      <c r="AT108" s="18">
        <f t="shared" ref="AT108:AX108" si="67">AT6</f>
        <v>58.571766439527252</v>
      </c>
      <c r="AU108" s="18">
        <f t="shared" ref="AU108" si="68">AU6</f>
        <v>100</v>
      </c>
      <c r="AV108" s="18"/>
      <c r="AW108" s="61" t="s">
        <v>115</v>
      </c>
      <c r="AX108" s="18">
        <f t="shared" si="67"/>
        <v>7967.4337148168361</v>
      </c>
      <c r="AY108" s="18">
        <f t="shared" ref="AY108" si="69">AY6</f>
        <v>100</v>
      </c>
      <c r="AZ108" s="18"/>
    </row>
    <row r="109" spans="1:60" x14ac:dyDescent="0.3">
      <c r="A109" s="22" t="s">
        <v>54</v>
      </c>
      <c r="B109" s="18">
        <f>SQRT(SUMSQ(B107:B108))</f>
        <v>0</v>
      </c>
      <c r="C109" s="18">
        <f t="shared" ref="C109:AI109" si="70">SQRT(SUMSQ(C107:C108))</f>
        <v>0</v>
      </c>
      <c r="D109" s="18">
        <f t="shared" si="70"/>
        <v>0</v>
      </c>
      <c r="E109" s="18">
        <f t="shared" si="70"/>
        <v>0</v>
      </c>
      <c r="F109" s="18">
        <f t="shared" si="70"/>
        <v>0</v>
      </c>
      <c r="G109" s="18">
        <f t="shared" si="70"/>
        <v>0</v>
      </c>
      <c r="H109" s="18">
        <f t="shared" si="70"/>
        <v>0</v>
      </c>
      <c r="I109" s="18">
        <f>SQRT(SUMSQ(I107:I108))</f>
        <v>0</v>
      </c>
      <c r="J109" s="18">
        <f>SQRT(SUMSQ(J107:J108))</f>
        <v>0</v>
      </c>
      <c r="K109" s="18">
        <f>SQRT(SUMSQ(K107:K108))</f>
        <v>0</v>
      </c>
      <c r="L109" s="18">
        <f t="shared" ref="L109:Q109" si="71">SQRT(SUMSQ(L107:L108))</f>
        <v>0</v>
      </c>
      <c r="M109" s="18">
        <f t="shared" si="71"/>
        <v>0</v>
      </c>
      <c r="N109" s="18">
        <f t="shared" si="71"/>
        <v>0</v>
      </c>
      <c r="O109" s="18">
        <f t="shared" si="71"/>
        <v>0</v>
      </c>
      <c r="P109" s="18">
        <f t="shared" si="71"/>
        <v>0</v>
      </c>
      <c r="Q109" s="18">
        <f t="shared" si="71"/>
        <v>0</v>
      </c>
      <c r="R109" s="18">
        <f>SQRT(SUMSQ(R107:R108))</f>
        <v>0</v>
      </c>
      <c r="S109" s="18">
        <f>SQRT(SUMSQ(S107:S108))</f>
        <v>0</v>
      </c>
      <c r="T109" s="18">
        <f>SQRT(SUMSQ(T107:T108))</f>
        <v>0</v>
      </c>
      <c r="U109" s="18">
        <f t="shared" ref="U109:Z109" si="72">SQRT(SUMSQ(U107:U108))</f>
        <v>0</v>
      </c>
      <c r="V109" s="18">
        <f t="shared" si="72"/>
        <v>0</v>
      </c>
      <c r="W109" s="18">
        <f t="shared" si="72"/>
        <v>0</v>
      </c>
      <c r="X109" s="18">
        <f t="shared" si="72"/>
        <v>0</v>
      </c>
      <c r="Y109" s="18">
        <f t="shared" si="72"/>
        <v>0</v>
      </c>
      <c r="Z109" s="18">
        <f t="shared" si="72"/>
        <v>0</v>
      </c>
      <c r="AA109" s="18">
        <f>SQRT(SUMSQ(AA107:AA108))</f>
        <v>0</v>
      </c>
      <c r="AB109" s="18">
        <f>SQRT(SUMSQ(AB107:AB108))</f>
        <v>0</v>
      </c>
      <c r="AC109" s="18">
        <f t="shared" ref="AC109" si="73">SQRT(SUMSQ(AC107:AC108))</f>
        <v>0</v>
      </c>
      <c r="AD109" s="18">
        <f>SQRT(SUMSQ(AD107:AD108))</f>
        <v>0</v>
      </c>
      <c r="AE109" s="18">
        <f t="shared" si="70"/>
        <v>0</v>
      </c>
      <c r="AF109" s="18">
        <f t="shared" ref="AF109" si="74">SQRT(SUMSQ(AF107:AF108))</f>
        <v>0</v>
      </c>
      <c r="AG109" s="18"/>
      <c r="AH109" s="18">
        <f t="shared" si="70"/>
        <v>0</v>
      </c>
      <c r="AI109" s="18">
        <f t="shared" si="70"/>
        <v>1683.9382851364085</v>
      </c>
      <c r="AJ109" s="18">
        <f t="shared" ref="AJ109" si="75">SQRT(SUMSQ(AJ107:AJ108))</f>
        <v>1683.9382851364085</v>
      </c>
      <c r="AK109" s="18">
        <f t="shared" ref="AK109" si="76">SQRT(SUMSQ(AK107:AK108))</f>
        <v>0</v>
      </c>
      <c r="AL109" s="22" t="s">
        <v>54</v>
      </c>
      <c r="AM109" s="18">
        <f t="shared" ref="AM109:AN109" si="77">SQRT(SUMSQ(AM107:AM108))</f>
        <v>1683.9382851364085</v>
      </c>
      <c r="AN109" s="18">
        <f t="shared" si="77"/>
        <v>100</v>
      </c>
      <c r="AO109" s="18"/>
      <c r="AP109" s="61" t="s">
        <v>116</v>
      </c>
      <c r="AQ109" s="18">
        <f t="shared" ref="AQ109:AR109" si="78">SQRT(SUMSQ(AQ107:AQ108))</f>
        <v>277.12812921102039</v>
      </c>
      <c r="AR109" s="18">
        <f t="shared" si="78"/>
        <v>100</v>
      </c>
      <c r="AS109" s="22" t="s">
        <v>54</v>
      </c>
      <c r="AT109" s="18">
        <f t="shared" ref="AT109:AX109" si="79">SQRT(SUMSQ(AT107:AT108))</f>
        <v>58.571766439527252</v>
      </c>
      <c r="AU109" s="18">
        <f t="shared" ref="AU109" si="80">SQRT(SUMSQ(AU107:AU108))</f>
        <v>100</v>
      </c>
      <c r="AV109" s="18"/>
      <c r="AW109" s="61" t="s">
        <v>116</v>
      </c>
      <c r="AX109" s="18">
        <f t="shared" si="79"/>
        <v>7967.4337148168361</v>
      </c>
      <c r="AY109" s="18">
        <f t="shared" ref="AY109" si="81">SQRT(SUMSQ(AY107:AY108))</f>
        <v>100</v>
      </c>
      <c r="AZ109" s="18"/>
    </row>
    <row r="110" spans="1:60" x14ac:dyDescent="0.3">
      <c r="A110" s="22" t="s">
        <v>5</v>
      </c>
      <c r="B110" s="18">
        <f>IF(B108=0,0,100*B107/B108)</f>
        <v>0</v>
      </c>
      <c r="C110" s="18">
        <f t="shared" ref="C110:AI110" si="82">IF(C108=0,0,100*C107/C108)</f>
        <v>0</v>
      </c>
      <c r="D110" s="18">
        <f t="shared" si="82"/>
        <v>0</v>
      </c>
      <c r="E110" s="18">
        <f t="shared" si="82"/>
        <v>0</v>
      </c>
      <c r="F110" s="18">
        <f t="shared" si="82"/>
        <v>0</v>
      </c>
      <c r="G110" s="18">
        <f t="shared" si="82"/>
        <v>0</v>
      </c>
      <c r="H110" s="18">
        <f t="shared" si="82"/>
        <v>0</v>
      </c>
      <c r="I110" s="18">
        <f>IF(I108=0,0,100*I107/I108)</f>
        <v>0</v>
      </c>
      <c r="J110" s="18">
        <f>IF(J108=0,0,100*J107/J108)</f>
        <v>0</v>
      </c>
      <c r="K110" s="18">
        <f>IF(K108=0,0,100*K107/K108)</f>
        <v>0</v>
      </c>
      <c r="L110" s="18">
        <f t="shared" ref="L110:Q110" si="83">IF(L108=0,0,100*L107/L108)</f>
        <v>0</v>
      </c>
      <c r="M110" s="18">
        <f t="shared" si="83"/>
        <v>0</v>
      </c>
      <c r="N110" s="18">
        <f t="shared" si="83"/>
        <v>0</v>
      </c>
      <c r="O110" s="18">
        <f t="shared" si="83"/>
        <v>0</v>
      </c>
      <c r="P110" s="18">
        <f t="shared" si="83"/>
        <v>0</v>
      </c>
      <c r="Q110" s="18">
        <f t="shared" si="83"/>
        <v>0</v>
      </c>
      <c r="R110" s="18">
        <f>IF(R108=0,0,100*R107/R108)</f>
        <v>0</v>
      </c>
      <c r="S110" s="18">
        <f>IF(S108=0,0,100*S107/S108)</f>
        <v>0</v>
      </c>
      <c r="T110" s="18">
        <f>IF(T108=0,0,100*T107/T108)</f>
        <v>0</v>
      </c>
      <c r="U110" s="18">
        <f t="shared" ref="U110:Z110" si="84">IF(U108=0,0,100*U107/U108)</f>
        <v>0</v>
      </c>
      <c r="V110" s="18">
        <f t="shared" si="84"/>
        <v>0</v>
      </c>
      <c r="W110" s="18">
        <f t="shared" si="84"/>
        <v>0</v>
      </c>
      <c r="X110" s="18">
        <f t="shared" si="84"/>
        <v>0</v>
      </c>
      <c r="Y110" s="18">
        <f t="shared" si="84"/>
        <v>0</v>
      </c>
      <c r="Z110" s="18">
        <f t="shared" si="84"/>
        <v>0</v>
      </c>
      <c r="AA110" s="18">
        <f>IF(AA108=0,0,100*AA107/AA108)</f>
        <v>0</v>
      </c>
      <c r="AB110" s="18">
        <f>IF(AB108=0,0,100*AB107/AB108)</f>
        <v>0</v>
      </c>
      <c r="AC110" s="18">
        <f t="shared" ref="AC110" si="85">IF(AC108=0,0,100*AC107/AC108)</f>
        <v>0</v>
      </c>
      <c r="AD110" s="18">
        <f>IF(AD108=0,0,100*AD107/AD108)</f>
        <v>0</v>
      </c>
      <c r="AE110" s="18">
        <f t="shared" si="82"/>
        <v>0</v>
      </c>
      <c r="AF110" s="18">
        <f t="shared" ref="AF110" si="86">IF(AF108=0,0,100*AF107/AF108)</f>
        <v>0</v>
      </c>
      <c r="AG110" s="18"/>
      <c r="AH110" s="18">
        <f t="shared" si="82"/>
        <v>0</v>
      </c>
      <c r="AI110" s="18">
        <f t="shared" si="82"/>
        <v>0</v>
      </c>
      <c r="AJ110" s="18">
        <f t="shared" ref="AJ110" si="87">IF(AJ108=0,0,100*AJ107/AJ108)</f>
        <v>0</v>
      </c>
      <c r="AK110" s="18">
        <f t="shared" ref="AK110" si="88">IF(AK108=0,0,100*AK107/AK108)</f>
        <v>0</v>
      </c>
      <c r="AL110" s="22" t="s">
        <v>5</v>
      </c>
      <c r="AM110" s="18">
        <f t="shared" ref="AM110:AN110" si="89">IF(AM108=0,0,100*AM107/AM108)</f>
        <v>0</v>
      </c>
      <c r="AN110" s="18">
        <f t="shared" si="89"/>
        <v>0</v>
      </c>
      <c r="AO110" s="18"/>
      <c r="AP110" s="61" t="s">
        <v>6</v>
      </c>
      <c r="AQ110" s="18">
        <f t="shared" ref="AQ110:AR110" si="90">IF(AQ108=0,0,100*AQ107/AQ108)</f>
        <v>0</v>
      </c>
      <c r="AR110" s="18">
        <f t="shared" si="90"/>
        <v>0</v>
      </c>
      <c r="AS110" s="22" t="s">
        <v>5</v>
      </c>
      <c r="AT110" s="18">
        <f t="shared" ref="AT110:AX110" si="91">IF(AT108=0,0,100*AT107/AT108)</f>
        <v>0</v>
      </c>
      <c r="AU110" s="18">
        <f t="shared" ref="AU110" si="92">IF(AU108=0,0,100*AU107/AU108)</f>
        <v>0</v>
      </c>
      <c r="AV110" s="18"/>
      <c r="AW110" s="61" t="s">
        <v>6</v>
      </c>
      <c r="AX110" s="18">
        <f t="shared" si="91"/>
        <v>0</v>
      </c>
      <c r="AY110" s="18">
        <f t="shared" ref="AY110" si="93">IF(AY108=0,0,100*AY107/AY108)</f>
        <v>0</v>
      </c>
      <c r="AZ110" s="18"/>
    </row>
    <row r="112" spans="1:60" x14ac:dyDescent="0.3">
      <c r="B112" s="91" t="str">
        <f t="shared" ref="B112" si="94">B2</f>
        <v>A01</v>
      </c>
      <c r="C112" s="91" t="str">
        <f t="shared" ref="C112:AK112" si="95">C2</f>
        <v>A02</v>
      </c>
      <c r="D112" s="91" t="str">
        <f t="shared" si="95"/>
        <v>A03</v>
      </c>
      <c r="E112" s="91" t="str">
        <f t="shared" si="95"/>
        <v>A04</v>
      </c>
      <c r="F112" s="91" t="str">
        <f t="shared" si="95"/>
        <v>A05</v>
      </c>
      <c r="G112" s="91" t="str">
        <f t="shared" si="95"/>
        <v>A06</v>
      </c>
      <c r="H112" s="91" t="str">
        <f t="shared" si="95"/>
        <v>A07</v>
      </c>
      <c r="I112" s="91" t="str">
        <f>I2</f>
        <v>A08</v>
      </c>
      <c r="J112" s="91" t="str">
        <f>J2</f>
        <v>A09</v>
      </c>
      <c r="K112" s="91" t="str">
        <f>K2</f>
        <v>B01</v>
      </c>
      <c r="L112" s="91" t="str">
        <f t="shared" ref="L112:Q112" si="96">L2</f>
        <v>B02</v>
      </c>
      <c r="M112" s="91" t="str">
        <f t="shared" si="96"/>
        <v>B03</v>
      </c>
      <c r="N112" s="91" t="str">
        <f t="shared" si="96"/>
        <v>B04</v>
      </c>
      <c r="O112" s="91" t="str">
        <f t="shared" si="96"/>
        <v>B05</v>
      </c>
      <c r="P112" s="91" t="str">
        <f t="shared" si="96"/>
        <v>B06</v>
      </c>
      <c r="Q112" s="91" t="str">
        <f t="shared" si="96"/>
        <v>B07</v>
      </c>
      <c r="R112" s="91" t="str">
        <f>R2</f>
        <v>B08</v>
      </c>
      <c r="S112" s="91" t="str">
        <f>S2</f>
        <v>B09</v>
      </c>
      <c r="T112" s="91" t="str">
        <f>T2</f>
        <v>C01</v>
      </c>
      <c r="U112" s="91" t="str">
        <f t="shared" ref="U112:Z112" si="97">U2</f>
        <v>C02</v>
      </c>
      <c r="V112" s="91" t="str">
        <f t="shared" si="97"/>
        <v>C03</v>
      </c>
      <c r="W112" s="91" t="str">
        <f t="shared" si="97"/>
        <v>C04</v>
      </c>
      <c r="X112" s="91" t="str">
        <f t="shared" si="97"/>
        <v>C05</v>
      </c>
      <c r="Y112" s="91" t="str">
        <f t="shared" si="97"/>
        <v>C06</v>
      </c>
      <c r="Z112" s="91" t="str">
        <f t="shared" si="97"/>
        <v>C07</v>
      </c>
      <c r="AA112" s="91" t="str">
        <f>AA2</f>
        <v>C08</v>
      </c>
      <c r="AB112" s="91" t="str">
        <f>AB2</f>
        <v>C09</v>
      </c>
      <c r="AC112" s="91" t="str">
        <f>AC2</f>
        <v>D01</v>
      </c>
      <c r="AD112" s="91" t="str">
        <f>AD2</f>
        <v>E01</v>
      </c>
      <c r="AE112" s="91" t="str">
        <f t="shared" si="95"/>
        <v>F01</v>
      </c>
      <c r="AF112" s="91" t="str">
        <f t="shared" si="95"/>
        <v>Custom</v>
      </c>
      <c r="AG112" s="91"/>
      <c r="AH112" s="91" t="str">
        <f t="shared" si="95"/>
        <v>Drive Sum</v>
      </c>
      <c r="AI112" s="91" t="str">
        <f t="shared" si="95"/>
        <v>Lin Load</v>
      </c>
      <c r="AJ112" s="91" t="str">
        <f t="shared" si="95"/>
        <v>subtotal</v>
      </c>
      <c r="AK112" s="91" t="str">
        <f t="shared" si="95"/>
        <v>AHF</v>
      </c>
      <c r="AL112" s="90"/>
      <c r="AM112" s="91" t="s">
        <v>54</v>
      </c>
    </row>
    <row r="113" spans="34:47" x14ac:dyDescent="0.3">
      <c r="AT113" t="s">
        <v>770</v>
      </c>
      <c r="AU113" t="s">
        <v>1030</v>
      </c>
    </row>
    <row r="114" spans="34:47" x14ac:dyDescent="0.3">
      <c r="AH114" t="s">
        <v>770</v>
      </c>
      <c r="AI114" t="s">
        <v>1055</v>
      </c>
      <c r="AT114" s="452">
        <f>IF(Drives!P33="Y",0.05,1)</f>
        <v>0.05</v>
      </c>
      <c r="AU114" t="s">
        <v>1031</v>
      </c>
    </row>
    <row r="115" spans="34:47" x14ac:dyDescent="0.3">
      <c r="AI115" t="s">
        <v>1056</v>
      </c>
    </row>
  </sheetData>
  <sheetProtection password="EDB7" sheet="1" objects="1" scenarios="1"/>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56"/>
  <sheetViews>
    <sheetView workbookViewId="0">
      <selection activeCell="A2" sqref="A2"/>
    </sheetView>
  </sheetViews>
  <sheetFormatPr defaultRowHeight="14.4" x14ac:dyDescent="0.3"/>
  <cols>
    <col min="1" max="1" width="4" customWidth="1"/>
    <col min="2" max="2" width="10.88671875" customWidth="1"/>
    <col min="4" max="4" width="9.44140625" bestFit="1" customWidth="1"/>
    <col min="10" max="15" width="9.109375" style="1"/>
  </cols>
  <sheetData>
    <row r="1" spans="1:16" ht="15.6" x14ac:dyDescent="0.3">
      <c r="A1" s="247" t="s">
        <v>75</v>
      </c>
    </row>
    <row r="3" spans="1:16" x14ac:dyDescent="0.3">
      <c r="C3" t="s">
        <v>189</v>
      </c>
      <c r="D3" t="s">
        <v>190</v>
      </c>
      <c r="E3" t="s">
        <v>337</v>
      </c>
      <c r="G3" s="4" t="s">
        <v>81</v>
      </c>
      <c r="K3" s="17" t="s">
        <v>210</v>
      </c>
    </row>
    <row r="4" spans="1:16" ht="15" thickBot="1" x14ac:dyDescent="0.35">
      <c r="G4" t="s">
        <v>7</v>
      </c>
      <c r="H4" t="s">
        <v>21</v>
      </c>
      <c r="J4" s="17" t="s">
        <v>68</v>
      </c>
      <c r="K4" s="360">
        <v>0.05</v>
      </c>
      <c r="L4" s="360">
        <v>0.08</v>
      </c>
      <c r="M4" s="360">
        <v>0.12</v>
      </c>
      <c r="N4" s="360">
        <v>0.15</v>
      </c>
      <c r="O4" s="360">
        <v>0.2</v>
      </c>
    </row>
    <row r="5" spans="1:16" ht="15" thickBot="1" x14ac:dyDescent="0.35">
      <c r="G5">
        <v>0</v>
      </c>
      <c r="H5">
        <v>5</v>
      </c>
      <c r="J5" s="181">
        <v>1</v>
      </c>
      <c r="K5" s="246">
        <v>100</v>
      </c>
      <c r="L5" s="246">
        <v>100</v>
      </c>
      <c r="M5" s="246">
        <v>100</v>
      </c>
      <c r="N5" s="246">
        <v>100</v>
      </c>
      <c r="O5" s="246">
        <v>100</v>
      </c>
      <c r="P5" s="5"/>
    </row>
    <row r="6" spans="1:16" ht="15" thickBot="1" x14ac:dyDescent="0.35">
      <c r="B6" t="s">
        <v>61</v>
      </c>
      <c r="C6" s="244">
        <f>Power!W29</f>
        <v>0</v>
      </c>
      <c r="D6" s="244">
        <f>Power!Z29</f>
        <v>0</v>
      </c>
      <c r="E6" s="244">
        <f>Power!AC29</f>
        <v>0</v>
      </c>
      <c r="F6" s="8"/>
      <c r="G6">
        <v>20</v>
      </c>
      <c r="H6">
        <v>8</v>
      </c>
      <c r="J6" s="1">
        <v>2</v>
      </c>
      <c r="K6" s="236">
        <f>K8</f>
        <v>1</v>
      </c>
      <c r="L6" s="236">
        <f t="shared" ref="L6:O6" si="0">L8</f>
        <v>1.75</v>
      </c>
      <c r="M6" s="236">
        <f t="shared" si="0"/>
        <v>2.5</v>
      </c>
      <c r="N6" s="236">
        <f t="shared" si="0"/>
        <v>3</v>
      </c>
      <c r="O6" s="236">
        <f t="shared" si="0"/>
        <v>3.75</v>
      </c>
      <c r="P6" s="5"/>
    </row>
    <row r="7" spans="1:16" x14ac:dyDescent="0.3">
      <c r="B7" t="s">
        <v>7</v>
      </c>
      <c r="C7" s="244">
        <f>Power!W33</f>
        <v>285.71428571428567</v>
      </c>
      <c r="D7" s="244">
        <f>Power!Z33</f>
        <v>22.857142857142861</v>
      </c>
      <c r="E7" s="244">
        <f>Power!AC33</f>
        <v>8.9285714285714288</v>
      </c>
      <c r="F7" s="8"/>
      <c r="G7">
        <v>50</v>
      </c>
      <c r="H7">
        <v>12</v>
      </c>
      <c r="J7" s="178">
        <v>3</v>
      </c>
      <c r="K7" s="246">
        <v>4</v>
      </c>
      <c r="L7" s="246">
        <v>7</v>
      </c>
      <c r="M7" s="246">
        <v>10</v>
      </c>
      <c r="N7" s="246">
        <v>12</v>
      </c>
      <c r="O7" s="246">
        <v>15</v>
      </c>
      <c r="P7" s="5"/>
    </row>
    <row r="8" spans="1:16" x14ac:dyDescent="0.3">
      <c r="B8" t="s">
        <v>77</v>
      </c>
      <c r="C8" s="12">
        <f>VLOOKUP(C7,$G5:$H9,2)</f>
        <v>15</v>
      </c>
      <c r="D8" s="12">
        <f>VLOOKUP(D7,$G5:$H9,2)</f>
        <v>8</v>
      </c>
      <c r="E8" s="12">
        <v>5</v>
      </c>
      <c r="G8">
        <v>100</v>
      </c>
      <c r="H8">
        <v>15</v>
      </c>
      <c r="J8" s="179">
        <v>4</v>
      </c>
      <c r="K8" s="245">
        <f>K7/4</f>
        <v>1</v>
      </c>
      <c r="L8" s="245">
        <f t="shared" ref="L8:O8" si="1">L7/4</f>
        <v>1.75</v>
      </c>
      <c r="M8" s="245">
        <f t="shared" si="1"/>
        <v>2.5</v>
      </c>
      <c r="N8" s="245">
        <f t="shared" si="1"/>
        <v>3</v>
      </c>
      <c r="O8" s="245">
        <f t="shared" si="1"/>
        <v>3.75</v>
      </c>
      <c r="P8" s="5"/>
    </row>
    <row r="9" spans="1:16" x14ac:dyDescent="0.3">
      <c r="B9" t="s">
        <v>78</v>
      </c>
      <c r="C9" s="228" t="str">
        <f>IF(C6&gt;C8,"NO","YES")</f>
        <v>YES</v>
      </c>
      <c r="D9" s="228" t="str">
        <f>IF(D6&gt;D8,"NO","YES")</f>
        <v>YES</v>
      </c>
      <c r="E9" s="228" t="str">
        <f>IF(E6&gt;E8,"NO","YES")</f>
        <v>YES</v>
      </c>
      <c r="F9" s="1"/>
      <c r="G9">
        <v>1000</v>
      </c>
      <c r="H9">
        <v>20</v>
      </c>
      <c r="J9" s="179">
        <v>5</v>
      </c>
      <c r="K9" s="245">
        <f t="shared" ref="K9:K14" si="2">K7</f>
        <v>4</v>
      </c>
      <c r="L9" s="245">
        <f t="shared" ref="L9:O9" si="3">L7</f>
        <v>7</v>
      </c>
      <c r="M9" s="245">
        <f t="shared" si="3"/>
        <v>10</v>
      </c>
      <c r="N9" s="245">
        <f t="shared" si="3"/>
        <v>12</v>
      </c>
      <c r="O9" s="245">
        <f t="shared" si="3"/>
        <v>15</v>
      </c>
      <c r="P9" s="5"/>
    </row>
    <row r="10" spans="1:16" x14ac:dyDescent="0.3">
      <c r="J10" s="179">
        <v>6</v>
      </c>
      <c r="K10" s="245">
        <f t="shared" si="2"/>
        <v>1</v>
      </c>
      <c r="L10" s="245">
        <f t="shared" ref="L10:O10" si="4">L8</f>
        <v>1.75</v>
      </c>
      <c r="M10" s="245">
        <f t="shared" si="4"/>
        <v>2.5</v>
      </c>
      <c r="N10" s="245">
        <f t="shared" si="4"/>
        <v>3</v>
      </c>
      <c r="O10" s="245">
        <f t="shared" si="4"/>
        <v>3.75</v>
      </c>
      <c r="P10" s="5"/>
    </row>
    <row r="11" spans="1:16" x14ac:dyDescent="0.3">
      <c r="J11" s="179">
        <v>7</v>
      </c>
      <c r="K11" s="245">
        <f t="shared" si="2"/>
        <v>4</v>
      </c>
      <c r="L11" s="245">
        <f t="shared" ref="L11:O11" si="5">L9</f>
        <v>7</v>
      </c>
      <c r="M11" s="245">
        <f t="shared" si="5"/>
        <v>10</v>
      </c>
      <c r="N11" s="245">
        <f t="shared" si="5"/>
        <v>12</v>
      </c>
      <c r="O11" s="245">
        <f t="shared" si="5"/>
        <v>15</v>
      </c>
      <c r="P11" s="5"/>
    </row>
    <row r="12" spans="1:16" x14ac:dyDescent="0.3">
      <c r="B12" t="s">
        <v>79</v>
      </c>
      <c r="C12" s="244">
        <f>Power!AF46</f>
        <v>0</v>
      </c>
      <c r="D12" s="8"/>
      <c r="E12" s="8"/>
      <c r="F12" s="8"/>
      <c r="J12" s="179">
        <v>8</v>
      </c>
      <c r="K12" s="245">
        <f t="shared" si="2"/>
        <v>1</v>
      </c>
      <c r="L12" s="245">
        <f t="shared" ref="L12:O12" si="6">L10</f>
        <v>1.75</v>
      </c>
      <c r="M12" s="245">
        <f t="shared" si="6"/>
        <v>2.5</v>
      </c>
      <c r="N12" s="245">
        <f t="shared" si="6"/>
        <v>3</v>
      </c>
      <c r="O12" s="245">
        <f t="shared" si="6"/>
        <v>3.75</v>
      </c>
      <c r="P12" s="5"/>
    </row>
    <row r="13" spans="1:16" x14ac:dyDescent="0.3">
      <c r="B13" t="s">
        <v>80</v>
      </c>
      <c r="C13" s="244">
        <f>Power!AF43</f>
        <v>0.48</v>
      </c>
      <c r="G13" s="4" t="s">
        <v>76</v>
      </c>
      <c r="J13" s="179">
        <v>9</v>
      </c>
      <c r="K13" s="245">
        <f t="shared" si="2"/>
        <v>4</v>
      </c>
      <c r="L13" s="245">
        <f t="shared" ref="L13:O13" si="7">L11</f>
        <v>7</v>
      </c>
      <c r="M13" s="245">
        <f t="shared" si="7"/>
        <v>10</v>
      </c>
      <c r="N13" s="245">
        <f t="shared" si="7"/>
        <v>12</v>
      </c>
      <c r="O13" s="245">
        <f t="shared" si="7"/>
        <v>15</v>
      </c>
      <c r="P13" s="5"/>
    </row>
    <row r="14" spans="1:16" ht="15" thickBot="1" x14ac:dyDescent="0.35">
      <c r="B14" t="s">
        <v>82</v>
      </c>
      <c r="C14" s="12">
        <f>VLOOKUP(C13,$G15:$H18,2)</f>
        <v>8</v>
      </c>
      <c r="G14" t="s">
        <v>83</v>
      </c>
      <c r="H14" t="s">
        <v>6</v>
      </c>
      <c r="J14" s="180">
        <v>10</v>
      </c>
      <c r="K14" s="245">
        <f t="shared" si="2"/>
        <v>1</v>
      </c>
      <c r="L14" s="245">
        <f t="shared" ref="L14:O14" si="8">L12</f>
        <v>1.75</v>
      </c>
      <c r="M14" s="245">
        <f t="shared" si="8"/>
        <v>2.5</v>
      </c>
      <c r="N14" s="245">
        <f t="shared" si="8"/>
        <v>3</v>
      </c>
      <c r="O14" s="245">
        <f t="shared" si="8"/>
        <v>3.75</v>
      </c>
      <c r="P14" s="5"/>
    </row>
    <row r="15" spans="1:16" x14ac:dyDescent="0.3">
      <c r="B15" t="s">
        <v>78</v>
      </c>
      <c r="C15" s="228" t="str">
        <f>IF(C12&gt;C14,"NO","YES")</f>
        <v>YES</v>
      </c>
      <c r="D15" s="1"/>
      <c r="E15" s="1"/>
      <c r="F15" s="1"/>
      <c r="G15">
        <v>0</v>
      </c>
      <c r="H15">
        <v>8</v>
      </c>
      <c r="J15" s="178">
        <v>11</v>
      </c>
      <c r="K15" s="246">
        <v>2</v>
      </c>
      <c r="L15" s="246">
        <v>3.5</v>
      </c>
      <c r="M15" s="246">
        <v>4.5</v>
      </c>
      <c r="N15" s="246">
        <v>5.5</v>
      </c>
      <c r="O15" s="246">
        <v>7</v>
      </c>
      <c r="P15" s="5"/>
    </row>
    <row r="16" spans="1:16" x14ac:dyDescent="0.3">
      <c r="G16">
        <v>1</v>
      </c>
      <c r="H16">
        <v>5</v>
      </c>
      <c r="J16" s="179">
        <v>12</v>
      </c>
      <c r="K16" s="245">
        <f>K15/4</f>
        <v>0.5</v>
      </c>
      <c r="L16" s="245">
        <f t="shared" ref="L16:O16" si="9">L15/4</f>
        <v>0.875</v>
      </c>
      <c r="M16" s="245">
        <f t="shared" si="9"/>
        <v>1.125</v>
      </c>
      <c r="N16" s="245">
        <f t="shared" si="9"/>
        <v>1.375</v>
      </c>
      <c r="O16" s="245">
        <f t="shared" si="9"/>
        <v>1.75</v>
      </c>
      <c r="P16" s="5"/>
    </row>
    <row r="17" spans="7:16" x14ac:dyDescent="0.3">
      <c r="G17">
        <v>69</v>
      </c>
      <c r="H17">
        <v>2.5</v>
      </c>
      <c r="J17" s="179">
        <v>13</v>
      </c>
      <c r="K17" s="245">
        <f>K15</f>
        <v>2</v>
      </c>
      <c r="L17" s="245">
        <f t="shared" ref="L17:O17" si="10">L15</f>
        <v>3.5</v>
      </c>
      <c r="M17" s="245">
        <f t="shared" si="10"/>
        <v>4.5</v>
      </c>
      <c r="N17" s="245">
        <f t="shared" si="10"/>
        <v>5.5</v>
      </c>
      <c r="O17" s="245">
        <f t="shared" si="10"/>
        <v>7</v>
      </c>
      <c r="P17" s="5"/>
    </row>
    <row r="18" spans="7:16" x14ac:dyDescent="0.3">
      <c r="G18">
        <v>161</v>
      </c>
      <c r="H18">
        <v>1.5</v>
      </c>
      <c r="J18" s="179">
        <v>14</v>
      </c>
      <c r="K18" s="245">
        <f>K16</f>
        <v>0.5</v>
      </c>
      <c r="L18" s="245">
        <f t="shared" ref="L18:O18" si="11">L16</f>
        <v>0.875</v>
      </c>
      <c r="M18" s="245">
        <f t="shared" si="11"/>
        <v>1.125</v>
      </c>
      <c r="N18" s="245">
        <f t="shared" si="11"/>
        <v>1.375</v>
      </c>
      <c r="O18" s="245">
        <f t="shared" si="11"/>
        <v>1.75</v>
      </c>
      <c r="P18" s="5"/>
    </row>
    <row r="19" spans="7:16" x14ac:dyDescent="0.3">
      <c r="J19" s="179">
        <v>15</v>
      </c>
      <c r="K19" s="245">
        <f>K17</f>
        <v>2</v>
      </c>
      <c r="L19" s="245">
        <f t="shared" ref="L19:O19" si="12">L17</f>
        <v>3.5</v>
      </c>
      <c r="M19" s="245">
        <f t="shared" si="12"/>
        <v>4.5</v>
      </c>
      <c r="N19" s="245">
        <f t="shared" si="12"/>
        <v>5.5</v>
      </c>
      <c r="O19" s="245">
        <f t="shared" si="12"/>
        <v>7</v>
      </c>
      <c r="P19" s="5"/>
    </row>
    <row r="20" spans="7:16" ht="15" thickBot="1" x14ac:dyDescent="0.35">
      <c r="J20" s="180">
        <v>16</v>
      </c>
      <c r="K20" s="245">
        <f>K18</f>
        <v>0.5</v>
      </c>
      <c r="L20" s="245">
        <f t="shared" ref="L20:O20" si="13">L18</f>
        <v>0.875</v>
      </c>
      <c r="M20" s="245">
        <f t="shared" si="13"/>
        <v>1.125</v>
      </c>
      <c r="N20" s="245">
        <f t="shared" si="13"/>
        <v>1.375</v>
      </c>
      <c r="O20" s="245">
        <f t="shared" si="13"/>
        <v>1.75</v>
      </c>
      <c r="P20" s="5"/>
    </row>
    <row r="21" spans="7:16" x14ac:dyDescent="0.3">
      <c r="J21" s="178">
        <v>17</v>
      </c>
      <c r="K21" s="246">
        <v>1.5</v>
      </c>
      <c r="L21" s="246">
        <v>2.5</v>
      </c>
      <c r="M21" s="246">
        <v>4</v>
      </c>
      <c r="N21" s="246">
        <v>5</v>
      </c>
      <c r="O21" s="246">
        <v>6</v>
      </c>
      <c r="P21" s="5"/>
    </row>
    <row r="22" spans="7:16" x14ac:dyDescent="0.3">
      <c r="J22" s="179">
        <v>18</v>
      </c>
      <c r="K22" s="245">
        <f>K21/4</f>
        <v>0.375</v>
      </c>
      <c r="L22" s="245">
        <f t="shared" ref="L22:O22" si="14">L21/4</f>
        <v>0.625</v>
      </c>
      <c r="M22" s="245">
        <f t="shared" si="14"/>
        <v>1</v>
      </c>
      <c r="N22" s="245">
        <f t="shared" si="14"/>
        <v>1.25</v>
      </c>
      <c r="O22" s="245">
        <f t="shared" si="14"/>
        <v>1.5</v>
      </c>
      <c r="P22" s="5"/>
    </row>
    <row r="23" spans="7:16" x14ac:dyDescent="0.3">
      <c r="J23" s="179">
        <v>19</v>
      </c>
      <c r="K23" s="245">
        <f>K21</f>
        <v>1.5</v>
      </c>
      <c r="L23" s="245">
        <f t="shared" ref="L23:O23" si="15">L21</f>
        <v>2.5</v>
      </c>
      <c r="M23" s="245">
        <f t="shared" si="15"/>
        <v>4</v>
      </c>
      <c r="N23" s="245">
        <f t="shared" si="15"/>
        <v>5</v>
      </c>
      <c r="O23" s="245">
        <f t="shared" si="15"/>
        <v>6</v>
      </c>
      <c r="P23" s="5"/>
    </row>
    <row r="24" spans="7:16" x14ac:dyDescent="0.3">
      <c r="J24" s="179">
        <v>20</v>
      </c>
      <c r="K24" s="245">
        <f>K22</f>
        <v>0.375</v>
      </c>
      <c r="L24" s="245">
        <f t="shared" ref="L24:O24" si="16">L22</f>
        <v>0.625</v>
      </c>
      <c r="M24" s="245">
        <f t="shared" si="16"/>
        <v>1</v>
      </c>
      <c r="N24" s="245">
        <f t="shared" si="16"/>
        <v>1.25</v>
      </c>
      <c r="O24" s="245">
        <f t="shared" si="16"/>
        <v>1.5</v>
      </c>
      <c r="P24" s="5"/>
    </row>
    <row r="25" spans="7:16" x14ac:dyDescent="0.3">
      <c r="J25" s="179">
        <v>21</v>
      </c>
      <c r="K25" s="245">
        <f>K23</f>
        <v>1.5</v>
      </c>
      <c r="L25" s="245">
        <f t="shared" ref="L25:O25" si="17">L23</f>
        <v>2.5</v>
      </c>
      <c r="M25" s="245">
        <f t="shared" si="17"/>
        <v>4</v>
      </c>
      <c r="N25" s="245">
        <f t="shared" si="17"/>
        <v>5</v>
      </c>
      <c r="O25" s="245">
        <f t="shared" si="17"/>
        <v>6</v>
      </c>
      <c r="P25" s="5"/>
    </row>
    <row r="26" spans="7:16" ht="15" thickBot="1" x14ac:dyDescent="0.35">
      <c r="J26" s="180">
        <v>22</v>
      </c>
      <c r="K26" s="245">
        <f>K24</f>
        <v>0.375</v>
      </c>
      <c r="L26" s="245">
        <f t="shared" ref="L26:O26" si="18">L24</f>
        <v>0.625</v>
      </c>
      <c r="M26" s="245">
        <f t="shared" si="18"/>
        <v>1</v>
      </c>
      <c r="N26" s="245">
        <f t="shared" si="18"/>
        <v>1.25</v>
      </c>
      <c r="O26" s="245">
        <f t="shared" si="18"/>
        <v>1.5</v>
      </c>
      <c r="P26" s="5"/>
    </row>
    <row r="27" spans="7:16" x14ac:dyDescent="0.3">
      <c r="J27" s="178">
        <v>23</v>
      </c>
      <c r="K27" s="246">
        <v>0.6</v>
      </c>
      <c r="L27" s="246">
        <v>1</v>
      </c>
      <c r="M27" s="246">
        <v>1.5</v>
      </c>
      <c r="N27" s="246">
        <v>2</v>
      </c>
      <c r="O27" s="246">
        <v>2.5</v>
      </c>
      <c r="P27" s="5"/>
    </row>
    <row r="28" spans="7:16" x14ac:dyDescent="0.3">
      <c r="J28" s="179">
        <v>24</v>
      </c>
      <c r="K28" s="245">
        <f>K27/4</f>
        <v>0.15</v>
      </c>
      <c r="L28" s="245">
        <f t="shared" ref="L28:O28" si="19">L27/4</f>
        <v>0.25</v>
      </c>
      <c r="M28" s="245">
        <f t="shared" si="19"/>
        <v>0.375</v>
      </c>
      <c r="N28" s="245">
        <f t="shared" si="19"/>
        <v>0.5</v>
      </c>
      <c r="O28" s="245">
        <f t="shared" si="19"/>
        <v>0.625</v>
      </c>
      <c r="P28" s="5"/>
    </row>
    <row r="29" spans="7:16" x14ac:dyDescent="0.3">
      <c r="J29" s="179">
        <v>25</v>
      </c>
      <c r="K29" s="245">
        <f t="shared" ref="K29:K38" si="20">K27</f>
        <v>0.6</v>
      </c>
      <c r="L29" s="245">
        <f t="shared" ref="L29:O29" si="21">L27</f>
        <v>1</v>
      </c>
      <c r="M29" s="245">
        <f t="shared" si="21"/>
        <v>1.5</v>
      </c>
      <c r="N29" s="245">
        <f t="shared" si="21"/>
        <v>2</v>
      </c>
      <c r="O29" s="245">
        <f t="shared" si="21"/>
        <v>2.5</v>
      </c>
      <c r="P29" s="5"/>
    </row>
    <row r="30" spans="7:16" x14ac:dyDescent="0.3">
      <c r="J30" s="179">
        <v>26</v>
      </c>
      <c r="K30" s="245">
        <f t="shared" si="20"/>
        <v>0.15</v>
      </c>
      <c r="L30" s="245">
        <f t="shared" ref="L30:O30" si="22">L28</f>
        <v>0.25</v>
      </c>
      <c r="M30" s="245">
        <f t="shared" si="22"/>
        <v>0.375</v>
      </c>
      <c r="N30" s="245">
        <f t="shared" si="22"/>
        <v>0.5</v>
      </c>
      <c r="O30" s="245">
        <f t="shared" si="22"/>
        <v>0.625</v>
      </c>
      <c r="P30" s="5"/>
    </row>
    <row r="31" spans="7:16" x14ac:dyDescent="0.3">
      <c r="J31" s="179">
        <v>27</v>
      </c>
      <c r="K31" s="245">
        <f t="shared" si="20"/>
        <v>0.6</v>
      </c>
      <c r="L31" s="245">
        <f t="shared" ref="L31:O31" si="23">L29</f>
        <v>1</v>
      </c>
      <c r="M31" s="245">
        <f t="shared" si="23"/>
        <v>1.5</v>
      </c>
      <c r="N31" s="245">
        <f t="shared" si="23"/>
        <v>2</v>
      </c>
      <c r="O31" s="245">
        <f t="shared" si="23"/>
        <v>2.5</v>
      </c>
      <c r="P31" s="5"/>
    </row>
    <row r="32" spans="7:16" x14ac:dyDescent="0.3">
      <c r="J32" s="179">
        <v>28</v>
      </c>
      <c r="K32" s="245">
        <f t="shared" si="20"/>
        <v>0.15</v>
      </c>
      <c r="L32" s="245">
        <f t="shared" ref="L32:O32" si="24">L30</f>
        <v>0.25</v>
      </c>
      <c r="M32" s="245">
        <f t="shared" si="24"/>
        <v>0.375</v>
      </c>
      <c r="N32" s="245">
        <f t="shared" si="24"/>
        <v>0.5</v>
      </c>
      <c r="O32" s="245">
        <f t="shared" si="24"/>
        <v>0.625</v>
      </c>
      <c r="P32" s="5"/>
    </row>
    <row r="33" spans="10:16" x14ac:dyDescent="0.3">
      <c r="J33" s="179">
        <v>29</v>
      </c>
      <c r="K33" s="245">
        <f t="shared" si="20"/>
        <v>0.6</v>
      </c>
      <c r="L33" s="245">
        <f t="shared" ref="L33:O33" si="25">L31</f>
        <v>1</v>
      </c>
      <c r="M33" s="245">
        <f t="shared" si="25"/>
        <v>1.5</v>
      </c>
      <c r="N33" s="245">
        <f t="shared" si="25"/>
        <v>2</v>
      </c>
      <c r="O33" s="245">
        <f t="shared" si="25"/>
        <v>2.5</v>
      </c>
      <c r="P33" s="5"/>
    </row>
    <row r="34" spans="10:16" x14ac:dyDescent="0.3">
      <c r="J34" s="179">
        <v>30</v>
      </c>
      <c r="K34" s="245">
        <f t="shared" si="20"/>
        <v>0.15</v>
      </c>
      <c r="L34" s="245">
        <f t="shared" ref="L34:O34" si="26">L32</f>
        <v>0.25</v>
      </c>
      <c r="M34" s="245">
        <f t="shared" si="26"/>
        <v>0.375</v>
      </c>
      <c r="N34" s="245">
        <f t="shared" si="26"/>
        <v>0.5</v>
      </c>
      <c r="O34" s="245">
        <f t="shared" si="26"/>
        <v>0.625</v>
      </c>
      <c r="P34" s="5"/>
    </row>
    <row r="35" spans="10:16" x14ac:dyDescent="0.3">
      <c r="J35" s="179">
        <v>31</v>
      </c>
      <c r="K35" s="245">
        <f t="shared" si="20"/>
        <v>0.6</v>
      </c>
      <c r="L35" s="245">
        <f t="shared" ref="L35:O35" si="27">L33</f>
        <v>1</v>
      </c>
      <c r="M35" s="245">
        <f t="shared" si="27"/>
        <v>1.5</v>
      </c>
      <c r="N35" s="245">
        <f t="shared" si="27"/>
        <v>2</v>
      </c>
      <c r="O35" s="245">
        <f t="shared" si="27"/>
        <v>2.5</v>
      </c>
      <c r="P35" s="5"/>
    </row>
    <row r="36" spans="10:16" x14ac:dyDescent="0.3">
      <c r="J36" s="179">
        <v>32</v>
      </c>
      <c r="K36" s="245">
        <f t="shared" si="20"/>
        <v>0.15</v>
      </c>
      <c r="L36" s="245">
        <f t="shared" ref="L36:O36" si="28">L34</f>
        <v>0.25</v>
      </c>
      <c r="M36" s="245">
        <f t="shared" si="28"/>
        <v>0.375</v>
      </c>
      <c r="N36" s="245">
        <f t="shared" si="28"/>
        <v>0.5</v>
      </c>
      <c r="O36" s="245">
        <f t="shared" si="28"/>
        <v>0.625</v>
      </c>
      <c r="P36" s="5"/>
    </row>
    <row r="37" spans="10:16" x14ac:dyDescent="0.3">
      <c r="J37" s="179">
        <v>33</v>
      </c>
      <c r="K37" s="245">
        <f t="shared" si="20"/>
        <v>0.6</v>
      </c>
      <c r="L37" s="245">
        <f t="shared" ref="L37:O37" si="29">L35</f>
        <v>1</v>
      </c>
      <c r="M37" s="245">
        <f t="shared" si="29"/>
        <v>1.5</v>
      </c>
      <c r="N37" s="245">
        <f t="shared" si="29"/>
        <v>2</v>
      </c>
      <c r="O37" s="245">
        <f t="shared" si="29"/>
        <v>2.5</v>
      </c>
      <c r="P37" s="5"/>
    </row>
    <row r="38" spans="10:16" ht="15" thickBot="1" x14ac:dyDescent="0.35">
      <c r="J38" s="180">
        <v>34</v>
      </c>
      <c r="K38" s="245">
        <f t="shared" si="20"/>
        <v>0.15</v>
      </c>
      <c r="L38" s="245">
        <f t="shared" ref="L38:O38" si="30">L36</f>
        <v>0.25</v>
      </c>
      <c r="M38" s="245">
        <f t="shared" si="30"/>
        <v>0.375</v>
      </c>
      <c r="N38" s="245">
        <f t="shared" si="30"/>
        <v>0.5</v>
      </c>
      <c r="O38" s="245">
        <f t="shared" si="30"/>
        <v>0.625</v>
      </c>
      <c r="P38" s="5"/>
    </row>
    <row r="39" spans="10:16" x14ac:dyDescent="0.3">
      <c r="J39" s="178">
        <v>35</v>
      </c>
      <c r="K39" s="246">
        <v>0.3</v>
      </c>
      <c r="L39" s="246">
        <v>0.5</v>
      </c>
      <c r="M39" s="246">
        <v>0.7</v>
      </c>
      <c r="N39" s="246">
        <v>1</v>
      </c>
      <c r="O39" s="246">
        <v>1.4</v>
      </c>
      <c r="P39" s="5"/>
    </row>
    <row r="40" spans="10:16" x14ac:dyDescent="0.3">
      <c r="J40" s="179">
        <v>36</v>
      </c>
      <c r="K40" s="245">
        <f>K39/4</f>
        <v>7.4999999999999997E-2</v>
      </c>
      <c r="L40" s="245">
        <f t="shared" ref="L40:O40" si="31">L39/4</f>
        <v>0.125</v>
      </c>
      <c r="M40" s="245">
        <f t="shared" si="31"/>
        <v>0.17499999999999999</v>
      </c>
      <c r="N40" s="245">
        <f t="shared" si="31"/>
        <v>0.25</v>
      </c>
      <c r="O40" s="245">
        <f t="shared" si="31"/>
        <v>0.35</v>
      </c>
      <c r="P40" s="5"/>
    </row>
    <row r="41" spans="10:16" x14ac:dyDescent="0.3">
      <c r="J41" s="179">
        <v>37</v>
      </c>
      <c r="K41" s="245">
        <f t="shared" ref="K41:K54" si="32">K39</f>
        <v>0.3</v>
      </c>
      <c r="L41" s="245">
        <f t="shared" ref="L41:O41" si="33">L39</f>
        <v>0.5</v>
      </c>
      <c r="M41" s="245">
        <f t="shared" si="33"/>
        <v>0.7</v>
      </c>
      <c r="N41" s="245">
        <f t="shared" si="33"/>
        <v>1</v>
      </c>
      <c r="O41" s="245">
        <f t="shared" si="33"/>
        <v>1.4</v>
      </c>
      <c r="P41" s="5"/>
    </row>
    <row r="42" spans="10:16" x14ac:dyDescent="0.3">
      <c r="J42" s="179">
        <v>38</v>
      </c>
      <c r="K42" s="245">
        <f t="shared" si="32"/>
        <v>7.4999999999999997E-2</v>
      </c>
      <c r="L42" s="245">
        <f t="shared" ref="L42:O42" si="34">L40</f>
        <v>0.125</v>
      </c>
      <c r="M42" s="245">
        <f t="shared" si="34"/>
        <v>0.17499999999999999</v>
      </c>
      <c r="N42" s="245">
        <f t="shared" si="34"/>
        <v>0.25</v>
      </c>
      <c r="O42" s="245">
        <f t="shared" si="34"/>
        <v>0.35</v>
      </c>
      <c r="P42" s="5"/>
    </row>
    <row r="43" spans="10:16" x14ac:dyDescent="0.3">
      <c r="J43" s="179">
        <v>39</v>
      </c>
      <c r="K43" s="245">
        <f t="shared" si="32"/>
        <v>0.3</v>
      </c>
      <c r="L43" s="245">
        <f t="shared" ref="L43:O43" si="35">L41</f>
        <v>0.5</v>
      </c>
      <c r="M43" s="245">
        <f t="shared" si="35"/>
        <v>0.7</v>
      </c>
      <c r="N43" s="245">
        <f t="shared" si="35"/>
        <v>1</v>
      </c>
      <c r="O43" s="245">
        <f t="shared" si="35"/>
        <v>1.4</v>
      </c>
      <c r="P43" s="5"/>
    </row>
    <row r="44" spans="10:16" x14ac:dyDescent="0.3">
      <c r="J44" s="179">
        <v>40</v>
      </c>
      <c r="K44" s="245">
        <f t="shared" si="32"/>
        <v>7.4999999999999997E-2</v>
      </c>
      <c r="L44" s="245">
        <f t="shared" ref="L44:O44" si="36">L42</f>
        <v>0.125</v>
      </c>
      <c r="M44" s="245">
        <f t="shared" si="36"/>
        <v>0.17499999999999999</v>
      </c>
      <c r="N44" s="245">
        <f t="shared" si="36"/>
        <v>0.25</v>
      </c>
      <c r="O44" s="245">
        <f t="shared" si="36"/>
        <v>0.35</v>
      </c>
      <c r="P44" s="5"/>
    </row>
    <row r="45" spans="10:16" x14ac:dyDescent="0.3">
      <c r="J45" s="179">
        <v>41</v>
      </c>
      <c r="K45" s="245">
        <f t="shared" si="32"/>
        <v>0.3</v>
      </c>
      <c r="L45" s="245">
        <f t="shared" ref="L45:O45" si="37">L43</f>
        <v>0.5</v>
      </c>
      <c r="M45" s="245">
        <f t="shared" si="37"/>
        <v>0.7</v>
      </c>
      <c r="N45" s="245">
        <f t="shared" si="37"/>
        <v>1</v>
      </c>
      <c r="O45" s="245">
        <f t="shared" si="37"/>
        <v>1.4</v>
      </c>
      <c r="P45" s="5"/>
    </row>
    <row r="46" spans="10:16" x14ac:dyDescent="0.3">
      <c r="J46" s="179">
        <v>42</v>
      </c>
      <c r="K46" s="245">
        <f t="shared" si="32"/>
        <v>7.4999999999999997E-2</v>
      </c>
      <c r="L46" s="245">
        <f t="shared" ref="L46:O46" si="38">L44</f>
        <v>0.125</v>
      </c>
      <c r="M46" s="245">
        <f t="shared" si="38"/>
        <v>0.17499999999999999</v>
      </c>
      <c r="N46" s="245">
        <f t="shared" si="38"/>
        <v>0.25</v>
      </c>
      <c r="O46" s="245">
        <f t="shared" si="38"/>
        <v>0.35</v>
      </c>
      <c r="P46" s="5"/>
    </row>
    <row r="47" spans="10:16" x14ac:dyDescent="0.3">
      <c r="J47" s="179">
        <v>43</v>
      </c>
      <c r="K47" s="245">
        <f t="shared" si="32"/>
        <v>0.3</v>
      </c>
      <c r="L47" s="245">
        <f t="shared" ref="L47:O47" si="39">L45</f>
        <v>0.5</v>
      </c>
      <c r="M47" s="245">
        <f t="shared" si="39"/>
        <v>0.7</v>
      </c>
      <c r="N47" s="245">
        <f t="shared" si="39"/>
        <v>1</v>
      </c>
      <c r="O47" s="245">
        <f t="shared" si="39"/>
        <v>1.4</v>
      </c>
      <c r="P47" s="5"/>
    </row>
    <row r="48" spans="10:16" x14ac:dyDescent="0.3">
      <c r="J48" s="179">
        <v>44</v>
      </c>
      <c r="K48" s="245">
        <f t="shared" si="32"/>
        <v>7.4999999999999997E-2</v>
      </c>
      <c r="L48" s="245">
        <f t="shared" ref="L48:O48" si="40">L46</f>
        <v>0.125</v>
      </c>
      <c r="M48" s="245">
        <f t="shared" si="40"/>
        <v>0.17499999999999999</v>
      </c>
      <c r="N48" s="245">
        <f t="shared" si="40"/>
        <v>0.25</v>
      </c>
      <c r="O48" s="245">
        <f t="shared" si="40"/>
        <v>0.35</v>
      </c>
      <c r="P48" s="5"/>
    </row>
    <row r="49" spans="10:16" x14ac:dyDescent="0.3">
      <c r="J49" s="179">
        <v>45</v>
      </c>
      <c r="K49" s="245">
        <f t="shared" si="32"/>
        <v>0.3</v>
      </c>
      <c r="L49" s="245">
        <f t="shared" ref="L49:O49" si="41">L47</f>
        <v>0.5</v>
      </c>
      <c r="M49" s="245">
        <f t="shared" si="41"/>
        <v>0.7</v>
      </c>
      <c r="N49" s="245">
        <f t="shared" si="41"/>
        <v>1</v>
      </c>
      <c r="O49" s="245">
        <f t="shared" si="41"/>
        <v>1.4</v>
      </c>
      <c r="P49" s="5"/>
    </row>
    <row r="50" spans="10:16" x14ac:dyDescent="0.3">
      <c r="J50" s="179">
        <v>46</v>
      </c>
      <c r="K50" s="245">
        <f t="shared" si="32"/>
        <v>7.4999999999999997E-2</v>
      </c>
      <c r="L50" s="245">
        <f t="shared" ref="L50:O50" si="42">L48</f>
        <v>0.125</v>
      </c>
      <c r="M50" s="245">
        <f t="shared" si="42"/>
        <v>0.17499999999999999</v>
      </c>
      <c r="N50" s="245">
        <f t="shared" si="42"/>
        <v>0.25</v>
      </c>
      <c r="O50" s="245">
        <f t="shared" si="42"/>
        <v>0.35</v>
      </c>
      <c r="P50" s="5"/>
    </row>
    <row r="51" spans="10:16" x14ac:dyDescent="0.3">
      <c r="J51" s="179">
        <v>47</v>
      </c>
      <c r="K51" s="245">
        <f t="shared" si="32"/>
        <v>0.3</v>
      </c>
      <c r="L51" s="245">
        <f t="shared" ref="L51:O51" si="43">L49</f>
        <v>0.5</v>
      </c>
      <c r="M51" s="245">
        <f t="shared" si="43"/>
        <v>0.7</v>
      </c>
      <c r="N51" s="245">
        <f t="shared" si="43"/>
        <v>1</v>
      </c>
      <c r="O51" s="245">
        <f t="shared" si="43"/>
        <v>1.4</v>
      </c>
      <c r="P51" s="5"/>
    </row>
    <row r="52" spans="10:16" x14ac:dyDescent="0.3">
      <c r="J52" s="179">
        <v>48</v>
      </c>
      <c r="K52" s="245">
        <f t="shared" si="32"/>
        <v>7.4999999999999997E-2</v>
      </c>
      <c r="L52" s="245">
        <f t="shared" ref="L52:O52" si="44">L50</f>
        <v>0.125</v>
      </c>
      <c r="M52" s="245">
        <f t="shared" si="44"/>
        <v>0.17499999999999999</v>
      </c>
      <c r="N52" s="245">
        <f t="shared" si="44"/>
        <v>0.25</v>
      </c>
      <c r="O52" s="245">
        <f t="shared" si="44"/>
        <v>0.35</v>
      </c>
      <c r="P52" s="5"/>
    </row>
    <row r="53" spans="10:16" x14ac:dyDescent="0.3">
      <c r="J53" s="179">
        <v>49</v>
      </c>
      <c r="K53" s="245">
        <f t="shared" si="32"/>
        <v>0.3</v>
      </c>
      <c r="L53" s="245">
        <f t="shared" ref="L53:O53" si="45">L51</f>
        <v>0.5</v>
      </c>
      <c r="M53" s="245">
        <f t="shared" si="45"/>
        <v>0.7</v>
      </c>
      <c r="N53" s="245">
        <f t="shared" si="45"/>
        <v>1</v>
      </c>
      <c r="O53" s="245">
        <f t="shared" si="45"/>
        <v>1.4</v>
      </c>
      <c r="P53" s="5"/>
    </row>
    <row r="54" spans="10:16" ht="15" thickBot="1" x14ac:dyDescent="0.35">
      <c r="J54" s="180">
        <v>50</v>
      </c>
      <c r="K54" s="245">
        <f t="shared" si="32"/>
        <v>7.4999999999999997E-2</v>
      </c>
      <c r="L54" s="245">
        <f t="shared" ref="L54:O54" si="46">L52</f>
        <v>0.125</v>
      </c>
      <c r="M54" s="245">
        <f t="shared" si="46"/>
        <v>0.17499999999999999</v>
      </c>
      <c r="N54" s="245">
        <f t="shared" si="46"/>
        <v>0.25</v>
      </c>
      <c r="O54" s="245">
        <f t="shared" si="46"/>
        <v>0.35</v>
      </c>
      <c r="P54" s="5"/>
    </row>
    <row r="55" spans="10:16" ht="15" thickBot="1" x14ac:dyDescent="0.35">
      <c r="K55" s="236"/>
      <c r="L55" s="236"/>
      <c r="M55" s="236"/>
      <c r="N55" s="236"/>
      <c r="O55" s="236"/>
    </row>
    <row r="56" spans="10:16" ht="15" thickBot="1" x14ac:dyDescent="0.35">
      <c r="J56" s="181" t="s">
        <v>208</v>
      </c>
      <c r="K56" s="246">
        <v>5</v>
      </c>
      <c r="L56" s="246">
        <v>8</v>
      </c>
      <c r="M56" s="246">
        <v>12</v>
      </c>
      <c r="N56" s="246">
        <v>15</v>
      </c>
      <c r="O56" s="246">
        <v>20</v>
      </c>
    </row>
  </sheetData>
  <sheetProtection password="EDB7" sheet="1" objects="1" scenarios="1"/>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AM69"/>
  <sheetViews>
    <sheetView zoomScaleNormal="100" workbookViewId="0"/>
  </sheetViews>
  <sheetFormatPr defaultRowHeight="14.4" x14ac:dyDescent="0.3"/>
  <cols>
    <col min="1" max="1" width="3.44140625" customWidth="1"/>
    <col min="2" max="2" width="11.88671875" customWidth="1"/>
    <col min="3" max="3" width="17" customWidth="1"/>
    <col min="4" max="4" width="3.33203125" customWidth="1"/>
    <col min="5" max="5" width="11.88671875" customWidth="1"/>
    <col min="6" max="6" width="22.44140625" customWidth="1"/>
    <col min="7" max="7" width="3.88671875" customWidth="1"/>
    <col min="8" max="8" width="14" customWidth="1"/>
    <col min="9" max="9" width="9.88671875" customWidth="1"/>
    <col min="10" max="10" width="3.88671875" customWidth="1"/>
    <col min="11" max="11" width="11.88671875" customWidth="1"/>
    <col min="12" max="12" width="22.44140625" customWidth="1"/>
    <col min="13" max="13" width="3.88671875" customWidth="1"/>
    <col min="14" max="14" width="12.5546875" customWidth="1"/>
    <col min="15" max="15" width="8" customWidth="1"/>
    <col min="16" max="16" width="3.88671875" customWidth="1"/>
    <col min="17" max="17" width="11.88671875" customWidth="1"/>
    <col min="18" max="18" width="7.5546875" customWidth="1"/>
    <col min="19" max="19" width="4.33203125" customWidth="1"/>
    <col min="20" max="20" width="11.88671875" customWidth="1"/>
    <col min="21" max="21" width="9.44140625" bestFit="1" customWidth="1"/>
    <col min="22" max="22" width="4.33203125" customWidth="1"/>
    <col min="23" max="23" width="10.33203125" customWidth="1"/>
    <col min="24" max="24" width="12.33203125" bestFit="1" customWidth="1"/>
    <col min="25" max="25" width="3.5546875" customWidth="1"/>
    <col min="26" max="26" width="10" customWidth="1"/>
    <col min="27" max="27" width="13.5546875" customWidth="1"/>
    <col min="28" max="28" width="4.6640625" customWidth="1"/>
    <col min="29" max="29" width="11.109375" customWidth="1"/>
    <col min="30" max="30" width="13.44140625" customWidth="1"/>
    <col min="31" max="31" width="4.109375" customWidth="1"/>
    <col min="32" max="32" width="14.109375" customWidth="1"/>
    <col min="33" max="33" width="21.5546875" customWidth="1"/>
    <col min="35" max="35" width="12" bestFit="1" customWidth="1"/>
  </cols>
  <sheetData>
    <row r="1" spans="2:39" ht="15.6" x14ac:dyDescent="0.3">
      <c r="B1" s="247" t="s">
        <v>349</v>
      </c>
      <c r="C1" s="9"/>
      <c r="D1" s="9"/>
      <c r="E1" s="9"/>
      <c r="F1" s="9"/>
      <c r="G1" s="9"/>
      <c r="H1" s="9"/>
      <c r="I1" s="9"/>
      <c r="J1" s="9"/>
      <c r="K1" s="9"/>
      <c r="L1" s="9"/>
      <c r="M1" s="9"/>
      <c r="N1" s="9"/>
      <c r="O1" s="9"/>
      <c r="P1" s="9"/>
      <c r="Q1" s="9"/>
      <c r="R1" s="9"/>
      <c r="S1" s="9"/>
      <c r="T1" s="9"/>
      <c r="U1" s="9"/>
      <c r="V1" s="9"/>
      <c r="W1" s="9"/>
      <c r="X1" s="9"/>
      <c r="Y1" s="9"/>
      <c r="Z1" s="9"/>
      <c r="AA1" s="9"/>
      <c r="AC1" s="9"/>
      <c r="AD1" s="9"/>
      <c r="AF1" s="237"/>
      <c r="AG1" s="59"/>
    </row>
    <row r="2" spans="2:39" x14ac:dyDescent="0.3">
      <c r="H2" s="462" t="s">
        <v>961</v>
      </c>
      <c r="I2" s="462"/>
      <c r="K2" s="756"/>
      <c r="L2" s="756"/>
      <c r="M2" s="463"/>
      <c r="N2" s="463" t="s">
        <v>959</v>
      </c>
      <c r="O2" s="463"/>
      <c r="P2" s="463"/>
      <c r="Q2" s="463" t="s">
        <v>993</v>
      </c>
      <c r="T2" s="106" t="s">
        <v>963</v>
      </c>
      <c r="V2" s="90"/>
      <c r="W2" s="9"/>
      <c r="X2" s="9"/>
      <c r="Y2" s="9"/>
      <c r="Z2" s="9"/>
      <c r="AA2" s="9"/>
      <c r="AC2" s="9"/>
      <c r="AD2" s="9"/>
      <c r="AF2" s="98" t="s">
        <v>185</v>
      </c>
      <c r="AG2" s="105" t="str">
        <f>Drives!N19</f>
        <v>UTILITY</v>
      </c>
    </row>
    <row r="3" spans="2:39" s="90" customFormat="1" x14ac:dyDescent="0.3">
      <c r="B3" s="94" t="s">
        <v>19</v>
      </c>
      <c r="C3" s="94"/>
      <c r="D3" s="95"/>
      <c r="E3" s="94" t="s">
        <v>51</v>
      </c>
      <c r="F3" s="94"/>
      <c r="G3" s="95"/>
      <c r="H3" s="94" t="s">
        <v>59</v>
      </c>
      <c r="I3" s="96"/>
      <c r="J3" s="92"/>
      <c r="K3" s="94" t="s">
        <v>958</v>
      </c>
      <c r="L3" s="94"/>
      <c r="M3" s="95"/>
      <c r="N3" s="94" t="s">
        <v>59</v>
      </c>
      <c r="O3" s="96"/>
      <c r="P3" s="92"/>
      <c r="Q3" s="94" t="s">
        <v>9</v>
      </c>
      <c r="R3" s="93"/>
      <c r="T3" s="94" t="s">
        <v>17</v>
      </c>
      <c r="U3" s="96"/>
      <c r="V3"/>
      <c r="W3" s="94" t="s">
        <v>57</v>
      </c>
      <c r="X3" s="93"/>
      <c r="Z3" s="94" t="s">
        <v>55</v>
      </c>
      <c r="AA3" s="93"/>
      <c r="AC3" s="94" t="s">
        <v>56</v>
      </c>
      <c r="AD3" s="93"/>
      <c r="AF3" s="94" t="s">
        <v>197</v>
      </c>
      <c r="AG3" s="93"/>
      <c r="AI3" s="102"/>
      <c r="AJ3" s="59"/>
      <c r="AK3" s="59"/>
      <c r="AL3" s="221"/>
      <c r="AM3" s="221"/>
    </row>
    <row r="4" spans="2:39" x14ac:dyDescent="0.3">
      <c r="B4" s="11">
        <f>Drives!X3</f>
        <v>0</v>
      </c>
      <c r="C4" s="12" t="s">
        <v>335</v>
      </c>
      <c r="D4" s="9"/>
      <c r="E4" s="11">
        <f>Drives!P52*0.746</f>
        <v>0</v>
      </c>
      <c r="F4" s="12" t="s">
        <v>951</v>
      </c>
      <c r="G4" s="9"/>
      <c r="H4" s="15"/>
      <c r="I4" s="12"/>
      <c r="K4" s="12"/>
      <c r="L4" s="12"/>
      <c r="M4" s="9"/>
      <c r="N4" s="15"/>
      <c r="O4" s="12"/>
      <c r="Q4" s="12">
        <v>0</v>
      </c>
      <c r="R4" s="12" t="s">
        <v>13</v>
      </c>
      <c r="T4" s="12"/>
      <c r="U4" s="12"/>
      <c r="W4" s="12">
        <f>Input!J4</f>
        <v>60</v>
      </c>
      <c r="X4" s="12" t="s">
        <v>58</v>
      </c>
      <c r="Z4" s="12">
        <f>Input!H8</f>
        <v>2000</v>
      </c>
      <c r="AA4" s="12" t="s">
        <v>0</v>
      </c>
      <c r="AC4" s="12">
        <f>Input!J8</f>
        <v>2500</v>
      </c>
      <c r="AD4" s="12" t="s">
        <v>0</v>
      </c>
      <c r="AF4" s="12">
        <f>IF(AG$2="UTILITY",Z4,AC4)</f>
        <v>2000</v>
      </c>
      <c r="AG4" s="12" t="s">
        <v>0</v>
      </c>
      <c r="AI4" s="221"/>
      <c r="AJ4" s="224"/>
      <c r="AK4" s="221"/>
      <c r="AL4" s="59"/>
      <c r="AM4" s="59"/>
    </row>
    <row r="5" spans="2:39" x14ac:dyDescent="0.3">
      <c r="B5" s="11">
        <f>Drives!Y3</f>
        <v>0</v>
      </c>
      <c r="C5" s="12" t="s">
        <v>1034</v>
      </c>
      <c r="D5" s="9"/>
      <c r="E5" s="11">
        <f>Drives!P53</f>
        <v>0</v>
      </c>
      <c r="F5" s="12" t="s">
        <v>947</v>
      </c>
      <c r="G5" s="9"/>
      <c r="H5" s="15"/>
      <c r="I5" s="12"/>
      <c r="K5" s="12"/>
      <c r="L5" s="12"/>
      <c r="M5" s="9"/>
      <c r="N5" s="15"/>
      <c r="O5" s="12"/>
      <c r="Q5" s="12">
        <f>0.9*Q4</f>
        <v>0</v>
      </c>
      <c r="R5" s="58">
        <v>0.9</v>
      </c>
      <c r="T5" s="12"/>
      <c r="U5" s="12"/>
      <c r="W5" s="12">
        <f>Input!H5</f>
        <v>13800</v>
      </c>
      <c r="X5" s="12" t="s">
        <v>26</v>
      </c>
      <c r="Z5" s="12">
        <f>Input!H9</f>
        <v>480</v>
      </c>
      <c r="AA5" s="12" t="s">
        <v>26</v>
      </c>
      <c r="AC5" s="12">
        <f>Input!J9</f>
        <v>480</v>
      </c>
      <c r="AD5" s="12" t="s">
        <v>26</v>
      </c>
      <c r="AF5" s="12">
        <f>IF(AG$2="UTILITY",Z5,AC5)</f>
        <v>480</v>
      </c>
      <c r="AG5" s="12" t="s">
        <v>26</v>
      </c>
      <c r="AI5" s="59"/>
      <c r="AJ5" s="222"/>
      <c r="AK5" s="59"/>
      <c r="AL5" s="59"/>
      <c r="AM5" s="59"/>
    </row>
    <row r="6" spans="2:39" x14ac:dyDescent="0.3">
      <c r="B6" s="15">
        <f>Drives!Z3</f>
        <v>0</v>
      </c>
      <c r="C6" s="12" t="s">
        <v>50</v>
      </c>
      <c r="D6" s="9"/>
      <c r="E6" s="11">
        <f>Drives!P54</f>
        <v>0</v>
      </c>
      <c r="F6" s="12" t="s">
        <v>1088</v>
      </c>
      <c r="G6" s="9"/>
      <c r="H6" s="15"/>
      <c r="I6" s="12"/>
      <c r="K6" s="12"/>
      <c r="L6" s="12"/>
      <c r="M6" s="9"/>
      <c r="N6" s="15"/>
      <c r="O6" s="12"/>
      <c r="Q6" s="11">
        <f>N26</f>
        <v>0</v>
      </c>
      <c r="R6" s="12" t="s">
        <v>52</v>
      </c>
      <c r="T6" s="15"/>
      <c r="U6" s="12"/>
      <c r="W6" s="15">
        <f>Input!H6</f>
        <v>400</v>
      </c>
      <c r="X6" s="12" t="s">
        <v>4</v>
      </c>
      <c r="Z6" s="15">
        <f>IF(Z5=0,0,W5/Z5)</f>
        <v>28.75</v>
      </c>
      <c r="AA6" s="12" t="s">
        <v>113</v>
      </c>
      <c r="AC6" s="12">
        <f>Input!J6</f>
        <v>2000</v>
      </c>
      <c r="AD6" s="12" t="s">
        <v>18</v>
      </c>
      <c r="AI6" s="59"/>
      <c r="AJ6" s="222"/>
      <c r="AK6" s="59"/>
      <c r="AL6" s="59"/>
      <c r="AM6" s="59"/>
    </row>
    <row r="7" spans="2:39" x14ac:dyDescent="0.3">
      <c r="B7" s="12">
        <f>Drives!AA3</f>
        <v>0</v>
      </c>
      <c r="C7" s="12" t="s">
        <v>32</v>
      </c>
      <c r="D7" s="9"/>
      <c r="E7" s="11">
        <f>Drives!P55</f>
        <v>0</v>
      </c>
      <c r="F7" s="12" t="s">
        <v>948</v>
      </c>
      <c r="G7" s="9"/>
      <c r="H7" s="15"/>
      <c r="I7" s="12"/>
      <c r="K7" s="12"/>
      <c r="L7" s="12"/>
      <c r="M7" s="9"/>
      <c r="N7" s="15"/>
      <c r="O7" s="12"/>
      <c r="Q7" s="15">
        <f>IF(Q6=0,0,Q5/Q6)</f>
        <v>0</v>
      </c>
      <c r="R7" s="12" t="s">
        <v>100</v>
      </c>
      <c r="T7" s="12"/>
      <c r="U7" s="12"/>
      <c r="W7" s="12"/>
      <c r="X7" s="12"/>
      <c r="Z7" s="12">
        <f>Input!H10</f>
        <v>5.75</v>
      </c>
      <c r="AA7" s="12" t="s">
        <v>1</v>
      </c>
      <c r="AC7" s="12">
        <f>Input!J10</f>
        <v>0.2</v>
      </c>
      <c r="AD7" s="12" t="s">
        <v>43</v>
      </c>
      <c r="AF7" s="15">
        <f>IF(AG$2="UTILITY",Z7,100*AC7)</f>
        <v>5.75</v>
      </c>
      <c r="AG7" s="12" t="s">
        <v>1</v>
      </c>
      <c r="AI7" s="59"/>
      <c r="AJ7" s="103"/>
      <c r="AK7" s="59"/>
      <c r="AL7" s="59"/>
      <c r="AM7" s="59"/>
    </row>
    <row r="8" spans="2:39" x14ac:dyDescent="0.3">
      <c r="B8" s="12">
        <f>Drives!W3</f>
        <v>0</v>
      </c>
      <c r="C8" s="12" t="s">
        <v>14</v>
      </c>
      <c r="D8" s="9"/>
      <c r="E8" s="11">
        <f>E4*1000/(SQRT(3)*AF5)/Drives!P29</f>
        <v>0</v>
      </c>
      <c r="F8" s="12" t="s">
        <v>952</v>
      </c>
      <c r="G8" s="9"/>
      <c r="H8" s="15"/>
      <c r="I8" s="12"/>
      <c r="K8" s="12"/>
      <c r="L8" s="12"/>
      <c r="M8" s="9"/>
      <c r="N8" s="15"/>
      <c r="O8" s="12"/>
      <c r="Q8" s="12" t="e">
        <f>COUNTIF(Input!#REF!,Q3)</f>
        <v>#REF!</v>
      </c>
      <c r="R8" s="12" t="s">
        <v>24</v>
      </c>
      <c r="T8" s="12"/>
      <c r="U8" s="12"/>
      <c r="W8" s="12"/>
      <c r="X8" s="12"/>
      <c r="Z8" s="11">
        <f>IF(Z4=0,0,1000*Z4/SQRT(3)/Z5)</f>
        <v>2405.6261216234407</v>
      </c>
      <c r="AA8" s="12" t="s">
        <v>2</v>
      </c>
      <c r="AC8" s="11">
        <f>1000*AC4/SQRT(3)/AC5</f>
        <v>3007.0326520293011</v>
      </c>
      <c r="AD8" s="12" t="s">
        <v>2</v>
      </c>
      <c r="AF8" s="11">
        <f>IF(AG$2="UTILITY",Z8,AC8)</f>
        <v>2405.6261216234407</v>
      </c>
      <c r="AG8" s="12" t="s">
        <v>2</v>
      </c>
      <c r="AI8" s="59"/>
      <c r="AJ8" s="103"/>
      <c r="AK8" s="59"/>
      <c r="AL8" s="59"/>
      <c r="AM8" s="59"/>
    </row>
    <row r="9" spans="2:39" x14ac:dyDescent="0.3">
      <c r="B9" s="11" t="e">
        <f>Drives!AB3</f>
        <v>#DIV/0!</v>
      </c>
      <c r="C9" s="11" t="s">
        <v>27</v>
      </c>
      <c r="D9" s="14"/>
      <c r="E9" s="11">
        <f>SQRT((E8/Drives!Q52)^2-E8^2)</f>
        <v>0</v>
      </c>
      <c r="F9" s="12" t="s">
        <v>953</v>
      </c>
      <c r="G9" s="14"/>
      <c r="H9" s="11"/>
      <c r="I9" s="11"/>
      <c r="J9" s="7"/>
      <c r="K9" s="12"/>
      <c r="L9" s="12"/>
      <c r="M9" s="14"/>
      <c r="N9" s="11"/>
      <c r="O9" s="11"/>
      <c r="P9" s="7"/>
      <c r="Q9" s="56">
        <f>IF(Q7&lt;1,-0.95*Q7,-0.95)</f>
        <v>0</v>
      </c>
      <c r="R9" s="12" t="s">
        <v>101</v>
      </c>
      <c r="T9" s="11"/>
      <c r="U9" s="11"/>
      <c r="W9" s="15">
        <f>IF(W5=0,0,1000*W6/(SQRT(3)*W5))</f>
        <v>16.734790411293499</v>
      </c>
      <c r="X9" s="12" t="s">
        <v>23</v>
      </c>
      <c r="Z9" s="56">
        <f>IF(Z7=0,0,Z8/(Z7/100)/1000)</f>
        <v>41.83697602823375</v>
      </c>
      <c r="AA9" s="12" t="s">
        <v>23</v>
      </c>
      <c r="AC9" s="56">
        <f>IF(AC4=0,0,AC8/AC7/1000)</f>
        <v>15.035163260146504</v>
      </c>
      <c r="AD9" s="12" t="s">
        <v>23</v>
      </c>
      <c r="AF9" s="56">
        <f>IF(AG$2="UTILITY",Z21,AC9)</f>
        <v>38.490017945975055</v>
      </c>
      <c r="AG9" s="12" t="s">
        <v>23</v>
      </c>
      <c r="AI9" s="59"/>
      <c r="AJ9" s="103"/>
      <c r="AK9" s="59"/>
      <c r="AL9" s="59"/>
      <c r="AM9" s="59"/>
    </row>
    <row r="10" spans="2:39" x14ac:dyDescent="0.3">
      <c r="B10" s="11" t="e">
        <f>Drives!AC3</f>
        <v>#DIV/0!</v>
      </c>
      <c r="C10" s="12" t="s">
        <v>38</v>
      </c>
      <c r="D10" s="9"/>
      <c r="E10" s="11">
        <f>E5*1000/(SQRT(3)*AF5)</f>
        <v>0</v>
      </c>
      <c r="F10" s="12" t="s">
        <v>954</v>
      </c>
      <c r="G10" s="9"/>
      <c r="H10" s="11"/>
      <c r="I10" s="12"/>
      <c r="K10" s="12"/>
      <c r="L10" s="12"/>
      <c r="M10" s="9"/>
      <c r="N10" s="11"/>
      <c r="O10" s="12"/>
      <c r="Q10" s="11"/>
      <c r="R10" s="12"/>
      <c r="T10" s="11"/>
      <c r="U10" s="12"/>
      <c r="W10" s="15">
        <f>SQRT(3)*W5*W9/1000</f>
        <v>399.99999999999994</v>
      </c>
      <c r="X10" s="12" t="s">
        <v>4</v>
      </c>
      <c r="Z10" s="56">
        <f>SQRT(3)*Z5*Z9/1000</f>
        <v>34.782608695652172</v>
      </c>
      <c r="AA10" s="12" t="s">
        <v>4</v>
      </c>
      <c r="AC10" s="56">
        <f>SQRT(3)*AC5*AC9/1000</f>
        <v>12.499999999999998</v>
      </c>
      <c r="AD10" s="12" t="s">
        <v>4</v>
      </c>
      <c r="AF10" s="56">
        <f>IF(AG$2="UTILITY",Z22,AC10)</f>
        <v>32</v>
      </c>
      <c r="AG10" s="12" t="s">
        <v>4</v>
      </c>
      <c r="AI10" s="59"/>
      <c r="AJ10" s="103"/>
      <c r="AK10" s="59"/>
      <c r="AL10" s="59"/>
      <c r="AM10" s="59"/>
    </row>
    <row r="11" spans="2:39" x14ac:dyDescent="0.3">
      <c r="B11" s="14"/>
      <c r="C11" s="9"/>
      <c r="D11" s="9"/>
      <c r="E11" s="11">
        <f>E6*1000*Drives!Q54/(SQRT(3)*AF5)</f>
        <v>0</v>
      </c>
      <c r="F11" s="12" t="s">
        <v>1086</v>
      </c>
      <c r="G11" s="9"/>
      <c r="H11" s="14"/>
      <c r="I11" s="9"/>
      <c r="K11" s="9"/>
      <c r="L11" s="9"/>
      <c r="M11" s="9"/>
      <c r="N11" s="14"/>
      <c r="O11" s="9"/>
      <c r="Q11" s="14"/>
      <c r="R11" s="9"/>
      <c r="T11" s="14"/>
      <c r="U11" s="9"/>
      <c r="W11" s="113"/>
      <c r="X11" s="9"/>
      <c r="Z11" s="309"/>
      <c r="AA11" s="9"/>
      <c r="AF11" s="309"/>
      <c r="AG11" s="9"/>
      <c r="AI11" s="59"/>
      <c r="AJ11" s="103"/>
      <c r="AK11" s="59"/>
      <c r="AL11" s="59"/>
      <c r="AM11" s="59"/>
    </row>
    <row r="12" spans="2:39" x14ac:dyDescent="0.3">
      <c r="B12" s="14"/>
      <c r="C12" s="9"/>
      <c r="D12" s="9"/>
      <c r="E12" s="11">
        <f>SQRT((E11/Drives!Q54)^2-E11^2)</f>
        <v>0</v>
      </c>
      <c r="F12" s="12" t="s">
        <v>1087</v>
      </c>
      <c r="G12" s="9"/>
      <c r="H12" s="14"/>
      <c r="I12" s="9"/>
      <c r="K12" s="9"/>
      <c r="L12" s="9"/>
      <c r="M12" s="9"/>
      <c r="N12" s="14"/>
      <c r="O12" s="9"/>
      <c r="Q12" s="14"/>
      <c r="R12" s="9"/>
      <c r="T12" s="14"/>
      <c r="U12" s="9"/>
      <c r="W12" s="113"/>
      <c r="X12" s="9"/>
      <c r="Z12" s="15">
        <f>IF(Z9=0,0,1000000*Z5/(SQRT(3)*1000*Z9))</f>
        <v>6624.0000000000009</v>
      </c>
      <c r="AA12" s="12" t="s">
        <v>192</v>
      </c>
      <c r="AC12" s="12">
        <f>Input!J7</f>
        <v>0.8</v>
      </c>
      <c r="AD12" s="60" t="s">
        <v>983</v>
      </c>
      <c r="AF12" s="12" t="s">
        <v>187</v>
      </c>
      <c r="AG12" s="105" t="str">
        <f>IF(AG2="GENERATOR","GEN Bus",IF(Input!H12="XFMR Pri","XFMR Pri","XFMR Sec"))</f>
        <v>XFMR Pri</v>
      </c>
      <c r="AI12" s="59"/>
      <c r="AJ12" s="103"/>
      <c r="AK12" s="59"/>
      <c r="AL12" s="59"/>
      <c r="AM12" s="59"/>
    </row>
    <row r="13" spans="2:39" x14ac:dyDescent="0.3">
      <c r="E13" s="11">
        <f>E7*Drives!Q55</f>
        <v>0</v>
      </c>
      <c r="F13" s="12" t="s">
        <v>955</v>
      </c>
      <c r="Z13" s="15">
        <f>Z12/(2*PI()*W4)</f>
        <v>17.570705717345248</v>
      </c>
      <c r="AA13" s="12" t="s">
        <v>105</v>
      </c>
      <c r="AC13" s="11">
        <f>AC8*AC12</f>
        <v>2405.6261216234411</v>
      </c>
      <c r="AD13" s="60" t="s">
        <v>984</v>
      </c>
      <c r="AF13" s="12" t="s">
        <v>188</v>
      </c>
      <c r="AG13" s="105" t="str">
        <f>IF(AG2="GENERATOR","GEN Bus","XFMR Sec")</f>
        <v>XFMR Sec</v>
      </c>
      <c r="AI13" s="59"/>
      <c r="AJ13" s="103"/>
      <c r="AK13" s="59"/>
      <c r="AL13" s="59"/>
      <c r="AM13" s="59"/>
    </row>
    <row r="14" spans="2:39" x14ac:dyDescent="0.3">
      <c r="E14" s="11">
        <f>SQRT(E7^2-E13^2)</f>
        <v>0</v>
      </c>
      <c r="F14" s="60" t="s">
        <v>964</v>
      </c>
      <c r="AF14" s="60" t="s">
        <v>1126</v>
      </c>
      <c r="AG14" s="105" t="str">
        <f>Drives!N33</f>
        <v>Max Percent of Source</v>
      </c>
      <c r="AI14" s="59"/>
      <c r="AJ14" s="101"/>
      <c r="AK14" s="59"/>
      <c r="AL14" s="59"/>
      <c r="AM14" s="59"/>
    </row>
    <row r="15" spans="2:39" x14ac:dyDescent="0.3">
      <c r="B15" s="56">
        <f>Drives!AF3</f>
        <v>0</v>
      </c>
      <c r="C15" s="12" t="s">
        <v>170</v>
      </c>
      <c r="D15" s="9"/>
      <c r="E15" s="11"/>
      <c r="F15" s="12"/>
      <c r="G15" s="9"/>
      <c r="H15" s="11"/>
      <c r="I15" s="12"/>
      <c r="K15" s="11"/>
      <c r="L15" s="12"/>
      <c r="M15" s="9"/>
      <c r="N15" s="11"/>
      <c r="O15" s="12"/>
      <c r="Q15" s="11"/>
      <c r="R15" s="12"/>
      <c r="T15" s="11"/>
      <c r="U15" s="12"/>
      <c r="AI15" s="59"/>
      <c r="AJ15" s="59"/>
      <c r="AK15" s="59"/>
      <c r="AL15" s="59"/>
      <c r="AM15" s="59"/>
    </row>
    <row r="16" spans="2:39" x14ac:dyDescent="0.3">
      <c r="B16" s="56">
        <f>Drives!AG3</f>
        <v>0</v>
      </c>
      <c r="C16" s="12" t="s">
        <v>171</v>
      </c>
      <c r="D16" s="9"/>
      <c r="E16" s="56">
        <f>SQRT(3)*AF$5*E24/1000</f>
        <v>0</v>
      </c>
      <c r="F16" s="12" t="s">
        <v>18</v>
      </c>
      <c r="G16" s="9"/>
      <c r="H16" s="56">
        <f>SQRT(3)*Z$5*H24/1000</f>
        <v>0</v>
      </c>
      <c r="I16" s="12" t="s">
        <v>18</v>
      </c>
      <c r="K16" s="56">
        <f>SQRT(3)*AF5*K24/1000</f>
        <v>1260</v>
      </c>
      <c r="L16" s="12" t="s">
        <v>18</v>
      </c>
      <c r="M16" s="9"/>
      <c r="N16" s="56">
        <f>SQRT(3)*AF$5*N24/1000</f>
        <v>1260</v>
      </c>
      <c r="O16" s="12" t="s">
        <v>18</v>
      </c>
      <c r="Q16" s="56">
        <f>SQRT(3)*AF$5*Q24/1000</f>
        <v>0</v>
      </c>
      <c r="R16" s="12" t="s">
        <v>18</v>
      </c>
      <c r="T16" s="56">
        <f>SQRT(3)*AF$5*T24/1000</f>
        <v>1260</v>
      </c>
      <c r="U16" s="12" t="s">
        <v>18</v>
      </c>
      <c r="AI16" s="59"/>
      <c r="AJ16" s="59"/>
      <c r="AK16" s="59"/>
      <c r="AL16" s="59"/>
      <c r="AM16" s="59"/>
    </row>
    <row r="17" spans="2:39" s="4" customFormat="1" x14ac:dyDescent="0.3">
      <c r="B17" s="56">
        <f>Drives!AI3</f>
        <v>0</v>
      </c>
      <c r="C17" s="12" t="s">
        <v>34</v>
      </c>
      <c r="D17" s="9"/>
      <c r="E17" s="56">
        <f t="shared" ref="E17:E18" si="0">SQRT(3)*AF$5*E25/1000</f>
        <v>0</v>
      </c>
      <c r="F17" s="12" t="s">
        <v>139</v>
      </c>
      <c r="G17" s="9"/>
      <c r="H17" s="56">
        <f>SQRT(3)*Z$5*H25/1000</f>
        <v>0</v>
      </c>
      <c r="I17" s="12" t="s">
        <v>139</v>
      </c>
      <c r="J17"/>
      <c r="K17" s="56">
        <f>SQRT(3)*AF$5*K25/1000</f>
        <v>610.24585209569409</v>
      </c>
      <c r="L17" s="12" t="s">
        <v>139</v>
      </c>
      <c r="M17" s="9"/>
      <c r="N17" s="56">
        <f>SQRT(3)*AF$5*N25/1000</f>
        <v>610.24585209569409</v>
      </c>
      <c r="O17" s="12" t="s">
        <v>139</v>
      </c>
      <c r="P17"/>
      <c r="Q17" s="56">
        <f>SQRT(3)*AF$5*Q25/1000</f>
        <v>0</v>
      </c>
      <c r="R17" s="12" t="s">
        <v>139</v>
      </c>
      <c r="S17"/>
      <c r="T17" s="56">
        <f>SQRT(3)*AF$5*T25/1000</f>
        <v>610.24585209569409</v>
      </c>
      <c r="U17" s="12" t="s">
        <v>139</v>
      </c>
      <c r="V17"/>
      <c r="W17" s="4" t="s">
        <v>175</v>
      </c>
      <c r="Z17" s="227" t="s">
        <v>184</v>
      </c>
      <c r="AA17" s="223"/>
      <c r="AC17" s="4" t="s">
        <v>196</v>
      </c>
      <c r="AF17" s="4" t="s">
        <v>200</v>
      </c>
      <c r="AI17" s="102"/>
      <c r="AJ17" s="102"/>
      <c r="AK17" s="102"/>
      <c r="AL17" s="102"/>
      <c r="AM17" s="102"/>
    </row>
    <row r="18" spans="2:39" x14ac:dyDescent="0.3">
      <c r="B18" s="56">
        <f>Drives!AJ3</f>
        <v>0</v>
      </c>
      <c r="C18" s="12" t="s">
        <v>480</v>
      </c>
      <c r="E18" s="56">
        <f t="shared" si="0"/>
        <v>0</v>
      </c>
      <c r="F18" s="12" t="s">
        <v>182</v>
      </c>
      <c r="H18" s="56">
        <f>SQRT(3)*Z$5*H26/1000</f>
        <v>0</v>
      </c>
      <c r="I18" s="12" t="s">
        <v>182</v>
      </c>
      <c r="K18" s="56">
        <f>SQRT(3)*AF$5*K26/1000</f>
        <v>0</v>
      </c>
      <c r="L18" s="12" t="s">
        <v>182</v>
      </c>
      <c r="N18" s="56">
        <f>SQRT(3)*AF$5*N26/1000</f>
        <v>0</v>
      </c>
      <c r="O18" s="12" t="s">
        <v>182</v>
      </c>
      <c r="Q18" s="56">
        <f>SQRT(3)*AF$5*Q26/1000</f>
        <v>0</v>
      </c>
      <c r="R18" s="12" t="s">
        <v>182</v>
      </c>
      <c r="T18" s="56">
        <f>SQRT(3)*AF$5*T26/1000</f>
        <v>0</v>
      </c>
      <c r="U18" s="12" t="s">
        <v>182</v>
      </c>
      <c r="W18" s="15">
        <f>IF(W9=0,0,1000000*W5/(SQRT(3)*1000*W9))</f>
        <v>476100.00000000006</v>
      </c>
      <c r="X18" s="12" t="s">
        <v>112</v>
      </c>
      <c r="Z18" s="15">
        <f>IF(Z21=0,0,1000000*Z5/(SQRT(3)*1000*Z21))</f>
        <v>7199.9999999999991</v>
      </c>
      <c r="AA18" s="12" t="s">
        <v>104</v>
      </c>
      <c r="AC18" s="15">
        <f>IF(AC9=0,0,1000000*AC5/(SQRT(3)*1000*AC9))</f>
        <v>18432</v>
      </c>
      <c r="AD18" s="12" t="s">
        <v>194</v>
      </c>
      <c r="AF18" s="15">
        <f>IF(AG$2="UTILITY",Z18,AC18)</f>
        <v>7199.9999999999991</v>
      </c>
      <c r="AG18" s="12" t="s">
        <v>199</v>
      </c>
      <c r="AI18" s="59"/>
      <c r="AJ18" s="59"/>
      <c r="AK18" s="59"/>
      <c r="AL18" s="59"/>
      <c r="AM18" s="59"/>
    </row>
    <row r="19" spans="2:39" x14ac:dyDescent="0.3">
      <c r="B19" s="56">
        <f>Drives!AK3</f>
        <v>0</v>
      </c>
      <c r="C19" s="12" t="s">
        <v>33</v>
      </c>
      <c r="E19" s="56">
        <f>SQRT(SUMSQ(E16:E18))</f>
        <v>0</v>
      </c>
      <c r="F19" s="12" t="s">
        <v>0</v>
      </c>
      <c r="H19" s="56">
        <f>SQRT(SUMSQ(H16:H18))</f>
        <v>0</v>
      </c>
      <c r="I19" s="12" t="s">
        <v>0</v>
      </c>
      <c r="K19" s="56">
        <f>SQRT(SUMSQ(K16:K18))</f>
        <v>1400</v>
      </c>
      <c r="L19" s="12" t="s">
        <v>0</v>
      </c>
      <c r="N19" s="56">
        <f>SQRT(SUMSQ(N16:N18))</f>
        <v>1400</v>
      </c>
      <c r="O19" s="12" t="s">
        <v>0</v>
      </c>
      <c r="Q19" s="56">
        <f>SQRT(SUMSQ(Q16:Q18))</f>
        <v>0</v>
      </c>
      <c r="R19" s="12" t="s">
        <v>0</v>
      </c>
      <c r="T19" s="56">
        <f>SQRT(SUMSQ(T16:T18))</f>
        <v>1400</v>
      </c>
      <c r="U19" s="12" t="s">
        <v>0</v>
      </c>
      <c r="W19" s="15">
        <f>W18/(2*PI()*W4)</f>
        <v>1262.8944734341899</v>
      </c>
      <c r="X19" s="12" t="s">
        <v>108</v>
      </c>
      <c r="Z19" s="15">
        <f>Z18/(2*PI()*W4)</f>
        <v>19.098593171027439</v>
      </c>
      <c r="AA19" s="12" t="s">
        <v>103</v>
      </c>
      <c r="AC19" s="15">
        <f>AC18/(2*PI()*W4)</f>
        <v>48.892398517830252</v>
      </c>
      <c r="AD19" s="12" t="s">
        <v>106</v>
      </c>
      <c r="AF19" s="15">
        <f>IF(AG$2="UTILITY",Z19,AC19)</f>
        <v>19.098593171027439</v>
      </c>
      <c r="AG19" s="12" t="s">
        <v>198</v>
      </c>
      <c r="AI19" s="59"/>
      <c r="AJ19" s="59"/>
      <c r="AK19" s="59"/>
      <c r="AL19" s="59"/>
      <c r="AM19" s="59"/>
    </row>
    <row r="20" spans="2:39" x14ac:dyDescent="0.3">
      <c r="B20" s="56">
        <f>Drives!AH3</f>
        <v>0</v>
      </c>
      <c r="C20" s="12" t="s">
        <v>167</v>
      </c>
      <c r="D20" s="9"/>
      <c r="E20" s="56">
        <f>IF(E19=0,0,E16/E19)</f>
        <v>0</v>
      </c>
      <c r="F20" s="12" t="s">
        <v>497</v>
      </c>
      <c r="G20" s="9"/>
      <c r="H20" s="56">
        <f>IF(H19=0,0,H16/H19)</f>
        <v>0</v>
      </c>
      <c r="I20" s="12" t="s">
        <v>497</v>
      </c>
      <c r="K20" s="56">
        <f>IF(K19=0,0,K16/K19)</f>
        <v>0.9</v>
      </c>
      <c r="L20" s="12" t="s">
        <v>497</v>
      </c>
      <c r="M20" s="9"/>
      <c r="N20" s="56">
        <f>IF(N19=0,0,N16/N19)</f>
        <v>0.9</v>
      </c>
      <c r="O20" s="12" t="s">
        <v>497</v>
      </c>
      <c r="Q20" s="56">
        <f>IF(Q19=0,0,Q16/Q19)</f>
        <v>0</v>
      </c>
      <c r="R20" s="12" t="s">
        <v>497</v>
      </c>
      <c r="T20" s="56">
        <f>IF(T19=0,0,T16/T19)</f>
        <v>0.9</v>
      </c>
      <c r="U20" s="12" t="s">
        <v>497</v>
      </c>
      <c r="W20" s="12"/>
      <c r="X20" s="12"/>
      <c r="Z20" s="12"/>
      <c r="AA20" s="12"/>
      <c r="AC20" s="11"/>
      <c r="AD20" s="12"/>
      <c r="AF20" s="15"/>
      <c r="AG20" s="12"/>
      <c r="AI20" s="59"/>
      <c r="AJ20" s="59"/>
      <c r="AK20" s="59"/>
      <c r="AL20" s="59"/>
      <c r="AM20" s="59"/>
    </row>
    <row r="21" spans="2:39" x14ac:dyDescent="0.3">
      <c r="W21" s="56">
        <f>W9</f>
        <v>16.734790411293499</v>
      </c>
      <c r="X21" s="12" t="s">
        <v>23</v>
      </c>
      <c r="Z21" s="56">
        <f>IF(Z5=0,0,1000*Z22/(SQRT(3)*Z5))</f>
        <v>38.490017945975055</v>
      </c>
      <c r="AA21" s="12" t="s">
        <v>23</v>
      </c>
      <c r="AC21" s="56">
        <f>AC9</f>
        <v>15.035163260146504</v>
      </c>
      <c r="AD21" s="12" t="s">
        <v>23</v>
      </c>
      <c r="AF21" s="56">
        <f>IF(AG$2="UTILITY",Z21,AC21)</f>
        <v>38.490017945975055</v>
      </c>
      <c r="AG21" s="12" t="s">
        <v>195</v>
      </c>
      <c r="AI21" s="59"/>
      <c r="AJ21" s="59"/>
      <c r="AK21" s="59"/>
      <c r="AL21" s="59"/>
      <c r="AM21" s="59"/>
    </row>
    <row r="22" spans="2:39" x14ac:dyDescent="0.3">
      <c r="W22" s="15">
        <f>W10</f>
        <v>399.99999999999994</v>
      </c>
      <c r="X22" s="12" t="s">
        <v>4</v>
      </c>
      <c r="Z22" s="56">
        <f>IF(Z10=0,0,1/(1/W10 + 1/Z10))</f>
        <v>32</v>
      </c>
      <c r="AA22" s="12" t="s">
        <v>4</v>
      </c>
      <c r="AC22" s="56">
        <f>AC10</f>
        <v>12.499999999999998</v>
      </c>
      <c r="AD22" s="12" t="s">
        <v>4</v>
      </c>
      <c r="AF22" s="56">
        <f>IF(AG$2="UTILITY",Z22,AC22)</f>
        <v>32</v>
      </c>
      <c r="AG22" s="12" t="s">
        <v>4</v>
      </c>
      <c r="AI22" s="59"/>
      <c r="AJ22" s="59"/>
      <c r="AK22" s="59"/>
      <c r="AL22" s="59"/>
      <c r="AM22" s="59"/>
    </row>
    <row r="23" spans="2:39" x14ac:dyDescent="0.3">
      <c r="B23" s="56">
        <f>Drives!AN3</f>
        <v>0</v>
      </c>
      <c r="C23" s="12" t="s">
        <v>172</v>
      </c>
      <c r="AF23" s="4" t="s">
        <v>367</v>
      </c>
      <c r="AI23" s="225"/>
      <c r="AJ23" s="102"/>
      <c r="AK23" s="59"/>
      <c r="AL23" s="59"/>
      <c r="AM23" s="59"/>
    </row>
    <row r="24" spans="2:39" x14ac:dyDescent="0.3">
      <c r="B24" s="56">
        <f>Drives!AO3</f>
        <v>0</v>
      </c>
      <c r="C24" s="12" t="s">
        <v>173</v>
      </c>
      <c r="E24" s="56">
        <f>E8+E10+E11+E13</f>
        <v>0</v>
      </c>
      <c r="F24" s="12" t="s">
        <v>168</v>
      </c>
      <c r="H24" s="56">
        <f>B24+E24</f>
        <v>0</v>
      </c>
      <c r="I24" s="12" t="s">
        <v>168</v>
      </c>
      <c r="K24" s="56">
        <f>K55</f>
        <v>1515.5444566227677</v>
      </c>
      <c r="L24" s="12" t="s">
        <v>168</v>
      </c>
      <c r="N24" s="56">
        <f>H24+K24</f>
        <v>1515.5444566227677</v>
      </c>
      <c r="O24" s="12" t="s">
        <v>168</v>
      </c>
      <c r="Q24" s="56">
        <v>0</v>
      </c>
      <c r="R24" s="12" t="s">
        <v>168</v>
      </c>
      <c r="T24" s="56">
        <f>Sum!AM4</f>
        <v>1515.5444566227677</v>
      </c>
      <c r="U24" s="12" t="s">
        <v>168</v>
      </c>
      <c r="W24" s="89">
        <f>Sum!AT4</f>
        <v>52.714589795574533</v>
      </c>
      <c r="X24" s="12" t="s">
        <v>168</v>
      </c>
      <c r="Z24" s="56">
        <f>T24</f>
        <v>1515.5444566227677</v>
      </c>
      <c r="AA24" s="12" t="s">
        <v>168</v>
      </c>
      <c r="AC24" s="56">
        <f>Z24</f>
        <v>1515.5444566227677</v>
      </c>
      <c r="AD24" s="12" t="s">
        <v>168</v>
      </c>
      <c r="AF24" s="56">
        <f t="shared" ref="AF24:AF29" si="1">IF(AG$12="XFMR Pri",W24,IF(AG$12="XFMR Sec",Z24,AC24))</f>
        <v>52.714589795574533</v>
      </c>
      <c r="AG24" s="12" t="s">
        <v>168</v>
      </c>
      <c r="AI24" s="220"/>
      <c r="AJ24" s="59"/>
      <c r="AK24" s="59"/>
      <c r="AL24" s="59"/>
      <c r="AM24" s="59"/>
    </row>
    <row r="25" spans="2:39" x14ac:dyDescent="0.3">
      <c r="B25" s="56">
        <f>Drives!AP3</f>
        <v>0</v>
      </c>
      <c r="C25" s="12" t="s">
        <v>155</v>
      </c>
      <c r="E25" s="56">
        <f>E9+E12+E14</f>
        <v>0</v>
      </c>
      <c r="F25" s="12" t="s">
        <v>169</v>
      </c>
      <c r="H25" s="56">
        <f>B25+E25</f>
        <v>0</v>
      </c>
      <c r="I25" s="12" t="s">
        <v>169</v>
      </c>
      <c r="K25" s="56">
        <f>K56</f>
        <v>734.01168120687828</v>
      </c>
      <c r="L25" s="12" t="s">
        <v>169</v>
      </c>
      <c r="N25" s="56">
        <f>H25+K25</f>
        <v>734.01168120687828</v>
      </c>
      <c r="O25" s="12" t="s">
        <v>169</v>
      </c>
      <c r="Q25" s="56">
        <v>0</v>
      </c>
      <c r="R25" s="12" t="s">
        <v>169</v>
      </c>
      <c r="T25" s="56">
        <f>Sum!AM5</f>
        <v>734.01168120687828</v>
      </c>
      <c r="U25" s="12" t="s">
        <v>169</v>
      </c>
      <c r="W25" s="89">
        <f>Sum!AT5</f>
        <v>25.530841085456636</v>
      </c>
      <c r="X25" s="12" t="s">
        <v>169</v>
      </c>
      <c r="Z25" s="56">
        <f t="shared" ref="Z25:Z29" si="2">T25</f>
        <v>734.01168120687828</v>
      </c>
      <c r="AA25" s="12" t="s">
        <v>169</v>
      </c>
      <c r="AC25" s="56">
        <f>Z25</f>
        <v>734.01168120687828</v>
      </c>
      <c r="AD25" s="12" t="s">
        <v>169</v>
      </c>
      <c r="AF25" s="56">
        <f t="shared" si="1"/>
        <v>25.530841085456636</v>
      </c>
      <c r="AG25" s="12" t="s">
        <v>169</v>
      </c>
      <c r="AI25" s="226"/>
      <c r="AJ25" s="59"/>
      <c r="AK25" s="59"/>
      <c r="AL25" s="59"/>
      <c r="AM25" s="59"/>
    </row>
    <row r="26" spans="2:39" x14ac:dyDescent="0.3">
      <c r="B26" s="56">
        <f>Drives!AQ3</f>
        <v>0</v>
      </c>
      <c r="C26" s="12" t="s">
        <v>36</v>
      </c>
      <c r="E26" s="56">
        <v>0</v>
      </c>
      <c r="F26" s="12" t="s">
        <v>52</v>
      </c>
      <c r="H26" s="56">
        <f>B26+E26</f>
        <v>0</v>
      </c>
      <c r="I26" s="12" t="s">
        <v>52</v>
      </c>
      <c r="K26" s="56">
        <v>0</v>
      </c>
      <c r="L26" s="12" t="s">
        <v>52</v>
      </c>
      <c r="N26" s="56">
        <f>H26+K26</f>
        <v>0</v>
      </c>
      <c r="O26" s="12" t="s">
        <v>52</v>
      </c>
      <c r="Q26" s="89">
        <f>Sum!AK107</f>
        <v>0</v>
      </c>
      <c r="R26" s="12" t="s">
        <v>52</v>
      </c>
      <c r="T26" s="56">
        <f>Sum!AM107</f>
        <v>0</v>
      </c>
      <c r="U26" s="12" t="s">
        <v>52</v>
      </c>
      <c r="W26" s="89">
        <f>Sum!AT107</f>
        <v>0</v>
      </c>
      <c r="X26" s="12" t="s">
        <v>52</v>
      </c>
      <c r="Z26" s="56">
        <f t="shared" si="2"/>
        <v>0</v>
      </c>
      <c r="AA26" s="12" t="s">
        <v>52</v>
      </c>
      <c r="AC26" s="56">
        <f>Z26</f>
        <v>0</v>
      </c>
      <c r="AD26" s="12" t="s">
        <v>52</v>
      </c>
      <c r="AF26" s="56">
        <f t="shared" si="1"/>
        <v>0</v>
      </c>
      <c r="AG26" s="12" t="s">
        <v>52</v>
      </c>
      <c r="AI26" s="59"/>
      <c r="AJ26" s="59"/>
      <c r="AK26" s="59"/>
      <c r="AL26" s="59"/>
      <c r="AM26" s="59"/>
    </row>
    <row r="27" spans="2:39" x14ac:dyDescent="0.3">
      <c r="B27" s="56">
        <f>Drives!AR3</f>
        <v>0</v>
      </c>
      <c r="C27" s="12" t="s">
        <v>35</v>
      </c>
      <c r="E27" s="56">
        <f>SQRT(SUMSQ(E24:E25))</f>
        <v>0</v>
      </c>
      <c r="F27" s="12" t="s">
        <v>53</v>
      </c>
      <c r="H27" s="56">
        <f>SQRT(SUMSQ(H24:H25))</f>
        <v>0</v>
      </c>
      <c r="I27" s="12" t="s">
        <v>53</v>
      </c>
      <c r="K27" s="56">
        <f>SQRT(SUMSQ(K24:K25))</f>
        <v>1683.9382851364085</v>
      </c>
      <c r="L27" s="12" t="s">
        <v>53</v>
      </c>
      <c r="N27" s="56">
        <f>SQRT(SUMSQ(N24:N25))</f>
        <v>1683.9382851364085</v>
      </c>
      <c r="O27" s="12" t="s">
        <v>53</v>
      </c>
      <c r="Q27" s="89">
        <f>Sum!AK108</f>
        <v>0</v>
      </c>
      <c r="R27" s="12" t="s">
        <v>53</v>
      </c>
      <c r="T27" s="56">
        <f>Sum!AM108</f>
        <v>1683.9382851364085</v>
      </c>
      <c r="U27" s="12" t="s">
        <v>53</v>
      </c>
      <c r="W27" s="89">
        <f>Sum!AT108</f>
        <v>58.571766439527252</v>
      </c>
      <c r="X27" s="12" t="s">
        <v>53</v>
      </c>
      <c r="Z27" s="56">
        <f t="shared" si="2"/>
        <v>1683.9382851364085</v>
      </c>
      <c r="AA27" s="12" t="s">
        <v>53</v>
      </c>
      <c r="AC27" s="56">
        <f>Z27</f>
        <v>1683.9382851364085</v>
      </c>
      <c r="AD27" s="12" t="s">
        <v>53</v>
      </c>
      <c r="AF27" s="111">
        <f t="shared" si="1"/>
        <v>58.571766439527252</v>
      </c>
      <c r="AG27" s="12" t="s">
        <v>53</v>
      </c>
      <c r="AI27" s="59"/>
      <c r="AJ27" s="59"/>
      <c r="AK27" s="59"/>
      <c r="AL27" s="59"/>
      <c r="AM27" s="59"/>
    </row>
    <row r="28" spans="2:39" x14ac:dyDescent="0.3">
      <c r="B28" s="56">
        <f>Drives!AS3</f>
        <v>0</v>
      </c>
      <c r="C28" s="12" t="s">
        <v>37</v>
      </c>
      <c r="E28" s="56">
        <f>SQRT(SUMSQ(E26:E27))</f>
        <v>0</v>
      </c>
      <c r="F28" s="12" t="s">
        <v>54</v>
      </c>
      <c r="H28" s="56">
        <f>SQRT(SUMSQ(H26:H27))</f>
        <v>0</v>
      </c>
      <c r="I28" s="12" t="s">
        <v>54</v>
      </c>
      <c r="K28" s="56">
        <f>SQRT(SUMSQ(K26:K27))</f>
        <v>1683.9382851364085</v>
      </c>
      <c r="L28" s="12" t="s">
        <v>54</v>
      </c>
      <c r="N28" s="459">
        <f>SQRT(SUMSQ(N26:N27))</f>
        <v>1683.9382851364085</v>
      </c>
      <c r="O28" s="12" t="s">
        <v>54</v>
      </c>
      <c r="Q28" s="89">
        <f>Sum!AK109</f>
        <v>0</v>
      </c>
      <c r="R28" s="12" t="s">
        <v>54</v>
      </c>
      <c r="T28" s="56">
        <f>Sum!AM109</f>
        <v>1683.9382851364085</v>
      </c>
      <c r="U28" s="12" t="s">
        <v>54</v>
      </c>
      <c r="W28" s="89">
        <f>Sum!AT109</f>
        <v>58.571766439527252</v>
      </c>
      <c r="X28" s="60" t="s">
        <v>54</v>
      </c>
      <c r="Y28" s="2"/>
      <c r="Z28" s="89">
        <f t="shared" si="2"/>
        <v>1683.9382851364085</v>
      </c>
      <c r="AA28" s="12" t="s">
        <v>54</v>
      </c>
      <c r="AC28" s="56">
        <f>Z28</f>
        <v>1683.9382851364085</v>
      </c>
      <c r="AD28" s="12" t="s">
        <v>54</v>
      </c>
      <c r="AF28" s="56">
        <f t="shared" si="1"/>
        <v>58.571766439527252</v>
      </c>
      <c r="AG28" s="12" t="s">
        <v>54</v>
      </c>
      <c r="AI28" s="59"/>
      <c r="AJ28" s="59"/>
      <c r="AK28" s="59"/>
      <c r="AL28" s="59"/>
      <c r="AM28" s="59"/>
    </row>
    <row r="29" spans="2:39" x14ac:dyDescent="0.3">
      <c r="B29" s="56">
        <f>Drives!AT3</f>
        <v>0</v>
      </c>
      <c r="C29" s="12" t="s">
        <v>72</v>
      </c>
      <c r="E29" s="56">
        <f>IF(E27=0,0,100*E26/E27)</f>
        <v>0</v>
      </c>
      <c r="F29" s="12" t="s">
        <v>5</v>
      </c>
      <c r="H29" s="56">
        <f>IF(H27=0,0,100*H26/H27)</f>
        <v>0</v>
      </c>
      <c r="I29" s="12" t="s">
        <v>5</v>
      </c>
      <c r="K29" s="56">
        <f>IF(K27=0,0,100*K26/K27)</f>
        <v>0</v>
      </c>
      <c r="L29" s="12" t="s">
        <v>5</v>
      </c>
      <c r="N29" s="56">
        <f>IF(N27=0,0,100*N26/N27)</f>
        <v>0</v>
      </c>
      <c r="O29" s="12" t="s">
        <v>5</v>
      </c>
      <c r="Q29" s="89">
        <f>Sum!AK110</f>
        <v>0</v>
      </c>
      <c r="R29" s="12" t="s">
        <v>5</v>
      </c>
      <c r="T29" s="56">
        <f>Sum!AM110</f>
        <v>0</v>
      </c>
      <c r="U29" s="12" t="s">
        <v>5</v>
      </c>
      <c r="W29" s="89">
        <f>Sum!AT110</f>
        <v>0</v>
      </c>
      <c r="X29" s="60" t="s">
        <v>217</v>
      </c>
      <c r="Y29" s="2"/>
      <c r="Z29" s="89">
        <f t="shared" si="2"/>
        <v>0</v>
      </c>
      <c r="AA29" s="12" t="s">
        <v>217</v>
      </c>
      <c r="AC29" s="56">
        <f>IF(AC27=0,0,100*AC26/AC27)</f>
        <v>0</v>
      </c>
      <c r="AD29" s="12" t="s">
        <v>217</v>
      </c>
      <c r="AF29" s="111">
        <f t="shared" si="1"/>
        <v>0</v>
      </c>
      <c r="AG29" s="12" t="s">
        <v>217</v>
      </c>
      <c r="AI29" s="59"/>
      <c r="AJ29" s="59"/>
      <c r="AK29" s="59"/>
      <c r="AL29" s="59"/>
      <c r="AM29" s="59"/>
    </row>
    <row r="30" spans="2:39" x14ac:dyDescent="0.3">
      <c r="W30" s="2"/>
      <c r="X30" s="2"/>
      <c r="Y30" s="2"/>
      <c r="Z30" s="2"/>
      <c r="AI30" s="59"/>
      <c r="AJ30" s="59"/>
      <c r="AK30" s="59"/>
      <c r="AL30" s="59"/>
      <c r="AM30" s="59"/>
    </row>
    <row r="31" spans="2:39" x14ac:dyDescent="0.3">
      <c r="B31" s="56">
        <f>100*B28/N28</f>
        <v>0</v>
      </c>
      <c r="C31" s="12" t="s">
        <v>851</v>
      </c>
      <c r="E31" s="89">
        <f>IF(E28=0,0,E24/E28)</f>
        <v>0</v>
      </c>
      <c r="F31" s="12" t="s">
        <v>556</v>
      </c>
      <c r="Q31" s="12" t="s">
        <v>339</v>
      </c>
      <c r="R31" s="12"/>
      <c r="T31" s="18"/>
      <c r="W31" s="89">
        <f>W21</f>
        <v>16.734790411293499</v>
      </c>
      <c r="X31" s="60" t="s">
        <v>23</v>
      </c>
      <c r="Y31" s="2"/>
      <c r="Z31" s="89">
        <f>Z21</f>
        <v>38.490017945975055</v>
      </c>
      <c r="AA31" s="12" t="s">
        <v>23</v>
      </c>
      <c r="AC31" s="56">
        <f>AC21</f>
        <v>15.035163260146504</v>
      </c>
      <c r="AD31" s="12" t="s">
        <v>23</v>
      </c>
      <c r="AF31" s="111">
        <f>IF(AG$12="XFMR Pri",W31,IF(AG$12="XFMR Sec",Z31,AC31))</f>
        <v>16.734790411293499</v>
      </c>
      <c r="AG31" s="12" t="s">
        <v>23</v>
      </c>
      <c r="AI31" s="59"/>
      <c r="AJ31" s="59"/>
      <c r="AK31" s="59"/>
      <c r="AL31" s="59"/>
      <c r="AM31" s="59"/>
    </row>
    <row r="32" spans="2:39" x14ac:dyDescent="0.3">
      <c r="B32" s="7"/>
      <c r="H32" s="7"/>
      <c r="K32" t="s">
        <v>500</v>
      </c>
      <c r="N32" s="106" t="s">
        <v>960</v>
      </c>
      <c r="O32" s="106"/>
      <c r="Q32" s="11">
        <f>AF34</f>
        <v>15</v>
      </c>
      <c r="R32" s="12" t="s">
        <v>340</v>
      </c>
      <c r="T32" s="18"/>
      <c r="W32" s="242">
        <f>W22</f>
        <v>399.99999999999994</v>
      </c>
      <c r="X32" s="60" t="s">
        <v>4</v>
      </c>
      <c r="Y32" s="2"/>
      <c r="Z32" s="242">
        <f>Z22</f>
        <v>32</v>
      </c>
      <c r="AA32" s="12" t="s">
        <v>4</v>
      </c>
      <c r="AC32" s="15">
        <f>AC22</f>
        <v>12.499999999999998</v>
      </c>
      <c r="AD32" s="12" t="s">
        <v>4</v>
      </c>
      <c r="AF32" s="111">
        <f>IF(AG$12="XFMR Pri",W32,IF(AG$12="XFMR Sec",Z32,AC32))</f>
        <v>399.99999999999994</v>
      </c>
      <c r="AG32" s="12" t="s">
        <v>4</v>
      </c>
      <c r="AI32" s="59"/>
      <c r="AJ32" s="59"/>
      <c r="AK32" s="59"/>
      <c r="AL32" s="59"/>
      <c r="AM32" s="59"/>
    </row>
    <row r="33" spans="2:39" x14ac:dyDescent="0.3">
      <c r="B33" s="7"/>
      <c r="E33" s="9"/>
      <c r="F33" s="9"/>
      <c r="K33" s="56">
        <f>Drives!Q56</f>
        <v>0.9</v>
      </c>
      <c r="L33" s="12" t="s">
        <v>556</v>
      </c>
      <c r="N33" s="56">
        <f>E24+K24</f>
        <v>1515.5444566227677</v>
      </c>
      <c r="O33" s="12" t="s">
        <v>168</v>
      </c>
      <c r="Q33" s="11">
        <f>N27*Q32/100</f>
        <v>252.59074277046125</v>
      </c>
      <c r="R33" s="12" t="s">
        <v>52</v>
      </c>
      <c r="T33" s="18"/>
      <c r="W33" s="89">
        <f>IF(W27=0,0,1000*W21/W27)</f>
        <v>285.71428571428567</v>
      </c>
      <c r="X33" s="60" t="s">
        <v>28</v>
      </c>
      <c r="Y33" s="2"/>
      <c r="Z33" s="89">
        <f>IF(Z27=0,0,1000*Z21/Z27)</f>
        <v>22.857142857142861</v>
      </c>
      <c r="AA33" s="12" t="s">
        <v>28</v>
      </c>
      <c r="AC33" s="56">
        <f>IF(AC27=0,0,1000*AC21/AC27)</f>
        <v>8.9285714285714288</v>
      </c>
      <c r="AD33" s="12" t="s">
        <v>28</v>
      </c>
      <c r="AF33" s="111">
        <f>IF(AG$12="XFMR Pri",W33,IF(AG$12="XFMR Sec",Z33,AC33))</f>
        <v>285.71428571428567</v>
      </c>
      <c r="AG33" s="12" t="s">
        <v>28</v>
      </c>
      <c r="AI33" s="59"/>
      <c r="AJ33" s="59"/>
      <c r="AK33" s="59"/>
      <c r="AL33" s="59"/>
      <c r="AM33" s="59"/>
    </row>
    <row r="34" spans="2:39" x14ac:dyDescent="0.3">
      <c r="E34" s="14"/>
      <c r="F34" s="9"/>
      <c r="K34" s="460">
        <f>Z38</f>
        <v>1683.9382851364085</v>
      </c>
      <c r="L34" s="12" t="s">
        <v>559</v>
      </c>
      <c r="N34" s="56">
        <f>E25+K25</f>
        <v>734.01168120687828</v>
      </c>
      <c r="O34" s="12" t="s">
        <v>169</v>
      </c>
      <c r="Q34" s="12"/>
      <c r="R34" s="12"/>
      <c r="T34" s="18"/>
      <c r="W34" s="243">
        <f>IEEE!C8</f>
        <v>15</v>
      </c>
      <c r="X34" s="60" t="s">
        <v>331</v>
      </c>
      <c r="Y34" s="2"/>
      <c r="Z34" s="243">
        <f>IEEE!D8</f>
        <v>8</v>
      </c>
      <c r="AA34" s="60" t="s">
        <v>331</v>
      </c>
      <c r="AC34" s="243">
        <f>IEEE!E8</f>
        <v>5</v>
      </c>
      <c r="AD34" s="60" t="s">
        <v>331</v>
      </c>
      <c r="AF34" s="238">
        <f>IF(AG$12="XFMR Pri",W34,IF(AG$12="XFMR Sec",Z34,AC34))</f>
        <v>15</v>
      </c>
      <c r="AG34" s="60" t="s">
        <v>247</v>
      </c>
      <c r="AI34" s="59"/>
      <c r="AJ34" s="59"/>
      <c r="AK34" s="59"/>
      <c r="AL34" s="59"/>
      <c r="AM34" s="59"/>
    </row>
    <row r="35" spans="2:39" x14ac:dyDescent="0.3">
      <c r="E35" s="14"/>
      <c r="F35" s="9"/>
      <c r="K35" s="11">
        <f>IF(H28&gt;K34,0,SQRT(K34^2-H25^2-H26^2))</f>
        <v>1683.9382851364085</v>
      </c>
      <c r="L35" s="12" t="s">
        <v>558</v>
      </c>
      <c r="N35" s="56">
        <f>E26+K26</f>
        <v>0</v>
      </c>
      <c r="O35" s="12" t="s">
        <v>52</v>
      </c>
      <c r="Q35" s="11" t="s">
        <v>341</v>
      </c>
      <c r="R35" s="12"/>
      <c r="T35" s="18"/>
      <c r="W35" s="2"/>
      <c r="X35" s="2"/>
      <c r="Y35" s="2"/>
      <c r="Z35" s="2"/>
      <c r="AF35" s="241" t="str">
        <f>IF(AF29&gt;AF34,"FAIL","PASS")</f>
        <v>PASS</v>
      </c>
      <c r="AG35" s="60" t="s">
        <v>336</v>
      </c>
      <c r="AI35" s="59"/>
      <c r="AJ35" s="59"/>
      <c r="AK35" s="59"/>
      <c r="AL35" s="59"/>
      <c r="AM35" s="59"/>
    </row>
    <row r="36" spans="2:39" x14ac:dyDescent="0.3">
      <c r="E36" s="14"/>
      <c r="F36" s="14"/>
      <c r="K36" s="11">
        <f>IF(K35=0,0,K35-H24)</f>
        <v>1683.9382851364085</v>
      </c>
      <c r="L36" s="11" t="s">
        <v>561</v>
      </c>
      <c r="N36" s="56">
        <f>SQRT(SUMSQ(N33:N34))</f>
        <v>1683.9382851364085</v>
      </c>
      <c r="O36" s="12" t="s">
        <v>53</v>
      </c>
      <c r="Q36" s="11">
        <f>N26</f>
        <v>0</v>
      </c>
      <c r="R36" s="12" t="s">
        <v>52</v>
      </c>
      <c r="T36" s="18"/>
      <c r="W36" s="2"/>
      <c r="X36" s="2"/>
      <c r="Y36" s="2"/>
      <c r="Z36" s="2"/>
    </row>
    <row r="37" spans="2:39" x14ac:dyDescent="0.3">
      <c r="E37" s="14"/>
      <c r="F37" s="59"/>
      <c r="K37" s="11">
        <f>K36*K33</f>
        <v>1515.5444566227677</v>
      </c>
      <c r="L37" s="60" t="s">
        <v>560</v>
      </c>
      <c r="N37" s="459">
        <f>SQRT(SUMSQ(N35:N36))</f>
        <v>1683.9382851364085</v>
      </c>
      <c r="O37" s="12" t="s">
        <v>54</v>
      </c>
      <c r="Q37" s="11"/>
      <c r="R37" s="12"/>
      <c r="T37" s="18"/>
      <c r="W37" s="243">
        <f>Z37</f>
        <v>70</v>
      </c>
      <c r="X37" s="60" t="s">
        <v>204</v>
      </c>
      <c r="Y37" s="2"/>
      <c r="Z37" s="243">
        <f>Drives!P56</f>
        <v>70</v>
      </c>
      <c r="AA37" s="12" t="s">
        <v>99</v>
      </c>
      <c r="AC37" s="321">
        <f>Drives!P57</f>
        <v>100</v>
      </c>
      <c r="AD37" s="12" t="s">
        <v>99</v>
      </c>
      <c r="AF37" s="15">
        <f>IF(AG$2="UTILITY",Z37,AC37)</f>
        <v>70</v>
      </c>
      <c r="AG37" s="12" t="s">
        <v>99</v>
      </c>
    </row>
    <row r="38" spans="2:39" x14ac:dyDescent="0.3">
      <c r="E38" s="14"/>
      <c r="F38" s="59"/>
      <c r="K38" s="11">
        <f>IF(K37=0,0,SQRT(K34^2-N24^2-N26^2))</f>
        <v>734.01168120687828</v>
      </c>
      <c r="L38" s="60" t="s">
        <v>562</v>
      </c>
      <c r="Q38" s="11" t="s">
        <v>342</v>
      </c>
      <c r="R38" s="12"/>
      <c r="T38" s="7"/>
      <c r="W38" s="89">
        <f>Z38/Z6</f>
        <v>58.571766439527252</v>
      </c>
      <c r="X38" s="60" t="s">
        <v>193</v>
      </c>
      <c r="Y38" s="2"/>
      <c r="Z38" s="89">
        <f>Z8*Z37/100</f>
        <v>1683.9382851364085</v>
      </c>
      <c r="AA38" s="60" t="s">
        <v>193</v>
      </c>
      <c r="AC38" s="56">
        <f>AC13*AC37/100</f>
        <v>2405.6261216234411</v>
      </c>
      <c r="AD38" s="60" t="s">
        <v>558</v>
      </c>
      <c r="AF38" s="56">
        <f>IF(AG$12="XFMR Pri",W38,IF(AG$12="XFMR Sec",Z38,AC38))</f>
        <v>58.571766439527252</v>
      </c>
      <c r="AG38" s="60" t="s">
        <v>193</v>
      </c>
    </row>
    <row r="39" spans="2:39" x14ac:dyDescent="0.3">
      <c r="E39" s="14"/>
      <c r="F39" s="59"/>
      <c r="K39" s="11">
        <f>IF(K38=0,0,K38-H25)</f>
        <v>734.01168120687828</v>
      </c>
      <c r="L39" s="60" t="s">
        <v>557</v>
      </c>
      <c r="N39" s="459">
        <f>SQRT(3)*AF$5*N37/1000</f>
        <v>1399.9999999999998</v>
      </c>
      <c r="O39" s="12" t="s">
        <v>0</v>
      </c>
      <c r="Q39" s="243">
        <f>IF((Q36-Q33)&lt;0,0,(Q36-Q33))</f>
        <v>0</v>
      </c>
      <c r="R39" s="12" t="s">
        <v>344</v>
      </c>
      <c r="W39" s="2"/>
      <c r="X39" s="2"/>
      <c r="Y39" s="2"/>
      <c r="Z39" s="89">
        <f>100*Z28/Z8</f>
        <v>70</v>
      </c>
      <c r="AA39" s="60" t="s">
        <v>205</v>
      </c>
      <c r="AC39" s="56">
        <f>IF(AC8=0,0,100*AC24/AC13)</f>
        <v>62.999999999999986</v>
      </c>
      <c r="AD39" s="60" t="s">
        <v>205</v>
      </c>
      <c r="AF39" s="56">
        <f>IF(AG$2="UTILITY",Z39,AC39)</f>
        <v>70</v>
      </c>
      <c r="AG39" s="12" t="s">
        <v>205</v>
      </c>
    </row>
    <row r="40" spans="2:39" x14ac:dyDescent="0.3">
      <c r="E40" s="14"/>
      <c r="F40" s="59"/>
      <c r="K40" s="11">
        <f>K39</f>
        <v>734.01168120687828</v>
      </c>
      <c r="L40" s="60" t="s">
        <v>563</v>
      </c>
      <c r="N40" s="56">
        <f>SQRT(3)*AF$5*N33/1000</f>
        <v>1260</v>
      </c>
      <c r="O40" s="12" t="s">
        <v>18</v>
      </c>
      <c r="Q40" s="238">
        <f>Q39*1.2</f>
        <v>0</v>
      </c>
      <c r="R40" s="255" t="s">
        <v>348</v>
      </c>
      <c r="S40" s="7"/>
      <c r="T40" s="7"/>
      <c r="W40" s="2"/>
      <c r="X40" s="2"/>
      <c r="Y40" s="2"/>
      <c r="Z40" s="60">
        <f>Z4*Z37/100</f>
        <v>1400</v>
      </c>
      <c r="AA40" s="60" t="s">
        <v>564</v>
      </c>
      <c r="AC40" s="60">
        <f>AC6*AC37/100</f>
        <v>2000</v>
      </c>
      <c r="AD40" s="60" t="s">
        <v>982</v>
      </c>
    </row>
    <row r="41" spans="2:39" x14ac:dyDescent="0.3">
      <c r="E41" s="9"/>
      <c r="F41" s="9"/>
      <c r="Q41" s="11" t="s">
        <v>343</v>
      </c>
      <c r="R41" s="11"/>
      <c r="W41" s="2"/>
      <c r="X41" s="2"/>
      <c r="Y41" s="2"/>
      <c r="Z41" s="242">
        <f>Thermal!C11</f>
        <v>70</v>
      </c>
      <c r="AA41" s="60" t="s">
        <v>825</v>
      </c>
      <c r="AF41" s="242">
        <f>Sum!BD107</f>
        <v>1</v>
      </c>
      <c r="AG41" s="12" t="s">
        <v>119</v>
      </c>
    </row>
    <row r="42" spans="2:39" x14ac:dyDescent="0.3">
      <c r="E42" s="9"/>
      <c r="F42" s="9"/>
      <c r="K42" s="14" t="s">
        <v>501</v>
      </c>
      <c r="W42" s="2"/>
      <c r="X42" s="2"/>
      <c r="Y42" s="2"/>
      <c r="Z42" s="2"/>
    </row>
    <row r="43" spans="2:39" x14ac:dyDescent="0.3">
      <c r="D43" s="9" t="s">
        <v>981</v>
      </c>
      <c r="E43" s="14"/>
      <c r="G43" t="s">
        <v>962</v>
      </c>
      <c r="K43" s="56">
        <f>Drives!Q57</f>
        <v>0.9</v>
      </c>
      <c r="L43" s="12" t="s">
        <v>556</v>
      </c>
      <c r="W43" s="60">
        <f>W5/1000</f>
        <v>13.8</v>
      </c>
      <c r="X43" s="60" t="s">
        <v>80</v>
      </c>
      <c r="Y43" s="2"/>
      <c r="Z43" s="60">
        <f>Z5/1000</f>
        <v>0.48</v>
      </c>
      <c r="AA43" s="12" t="s">
        <v>80</v>
      </c>
      <c r="AC43" s="12">
        <f>AC5/1000</f>
        <v>0.48</v>
      </c>
      <c r="AD43" s="12" t="s">
        <v>80</v>
      </c>
      <c r="AF43" s="15">
        <f>IF(AG$13="XFMR Pri",W43,IF(AG$13="XFMR Sec",Z43,AC43))</f>
        <v>0.48</v>
      </c>
      <c r="AG43" s="12" t="s">
        <v>80</v>
      </c>
    </row>
    <row r="44" spans="2:39" x14ac:dyDescent="0.3">
      <c r="D44" s="9"/>
      <c r="E44" s="14"/>
      <c r="K44" s="460">
        <f>AC38</f>
        <v>2405.6261216234411</v>
      </c>
      <c r="L44" s="12" t="s">
        <v>985</v>
      </c>
      <c r="W44" s="89">
        <f>IF(W6=0,0,Sum!AX107)</f>
        <v>0</v>
      </c>
      <c r="X44" s="60" t="s">
        <v>114</v>
      </c>
      <c r="Y44" s="2"/>
      <c r="Z44" s="89">
        <f>IF(Z7=0,0,Sum!AQ107)</f>
        <v>0</v>
      </c>
      <c r="AA44" s="60" t="s">
        <v>114</v>
      </c>
      <c r="AC44" s="56">
        <f>IF(AC8=0,0,Sum!AQ107)</f>
        <v>0</v>
      </c>
      <c r="AD44" s="60" t="s">
        <v>114</v>
      </c>
      <c r="AF44" s="15">
        <f>IF(AG$13="XFMR Pri",W44,IF(AG$13="XFMR Sec",Z44,AC44))</f>
        <v>0</v>
      </c>
      <c r="AG44" s="60" t="s">
        <v>114</v>
      </c>
    </row>
    <row r="45" spans="2:39" x14ac:dyDescent="0.3">
      <c r="D45" s="9" t="s">
        <v>986</v>
      </c>
      <c r="E45" s="14"/>
      <c r="K45" s="11">
        <f>IF(H24&gt;K44,0,K44)</f>
        <v>2405.6261216234411</v>
      </c>
      <c r="L45" s="12" t="s">
        <v>558</v>
      </c>
      <c r="W45" s="89">
        <f>Sum!AX108</f>
        <v>7967.4337148168361</v>
      </c>
      <c r="X45" s="60" t="s">
        <v>115</v>
      </c>
      <c r="Y45" s="2"/>
      <c r="Z45" s="89">
        <f>Sum!AQ108</f>
        <v>277.12812921102039</v>
      </c>
      <c r="AA45" s="60" t="s">
        <v>115</v>
      </c>
      <c r="AC45" s="56">
        <f>Sum!AQ108</f>
        <v>277.12812921102039</v>
      </c>
      <c r="AD45" s="60" t="s">
        <v>115</v>
      </c>
      <c r="AF45" s="15">
        <f>IF(AG$13="XFMR Pri",W45,IF(AG$13="XFMR Sec",Z45,AC45))</f>
        <v>277.12812921102039</v>
      </c>
      <c r="AG45" s="60" t="s">
        <v>115</v>
      </c>
    </row>
    <row r="46" spans="2:39" x14ac:dyDescent="0.3">
      <c r="D46" s="14" t="s">
        <v>987</v>
      </c>
      <c r="E46" s="14"/>
      <c r="G46" t="s">
        <v>962</v>
      </c>
      <c r="K46" s="11">
        <f>K45-H24</f>
        <v>2405.6261216234411</v>
      </c>
      <c r="L46" s="11" t="s">
        <v>561</v>
      </c>
      <c r="W46" s="89">
        <f>Sum!AX110</f>
        <v>0</v>
      </c>
      <c r="X46" s="60" t="s">
        <v>209</v>
      </c>
      <c r="Y46" s="2"/>
      <c r="Z46" s="89">
        <f>Sum!AQ110</f>
        <v>0</v>
      </c>
      <c r="AA46" s="60" t="s">
        <v>209</v>
      </c>
      <c r="AC46" s="56">
        <f>Sum!AQ110</f>
        <v>0</v>
      </c>
      <c r="AD46" s="60" t="s">
        <v>209</v>
      </c>
      <c r="AF46" s="111">
        <f>IF(AG$13="XFMR Pri",W46,IF(AG$13="XFMR Sec",Z46,AC46))</f>
        <v>0</v>
      </c>
      <c r="AG46" s="60" t="s">
        <v>218</v>
      </c>
    </row>
    <row r="47" spans="2:39" x14ac:dyDescent="0.3">
      <c r="D47" s="59" t="s">
        <v>988</v>
      </c>
      <c r="E47" s="14"/>
      <c r="G47" t="s">
        <v>962</v>
      </c>
      <c r="K47" s="11">
        <f>IF(K46&lt;0,0,K46)</f>
        <v>2405.6261216234411</v>
      </c>
      <c r="L47" s="60" t="s">
        <v>560</v>
      </c>
      <c r="AF47" s="242">
        <f>IEEE!C14</f>
        <v>8</v>
      </c>
      <c r="AG47" s="60" t="s">
        <v>332</v>
      </c>
    </row>
    <row r="48" spans="2:39" x14ac:dyDescent="0.3">
      <c r="D48" s="59" t="s">
        <v>989</v>
      </c>
      <c r="E48" s="14"/>
      <c r="G48" t="s">
        <v>962</v>
      </c>
      <c r="K48" s="11">
        <f>SQRT((K47/K43)^2 - K47^2)</f>
        <v>1165.0979066775853</v>
      </c>
      <c r="L48" s="60" t="s">
        <v>562</v>
      </c>
      <c r="T48" s="8"/>
      <c r="AA48" s="9"/>
      <c r="AF48" s="241" t="str">
        <f>IF(AF46&gt;AF47,"FAIL","PASS")</f>
        <v>PASS</v>
      </c>
      <c r="AG48" s="12" t="s">
        <v>957</v>
      </c>
    </row>
    <row r="49" spans="4:33" x14ac:dyDescent="0.3">
      <c r="D49" s="59" t="s">
        <v>990</v>
      </c>
      <c r="E49" s="14"/>
      <c r="G49" t="s">
        <v>962</v>
      </c>
      <c r="K49" s="11">
        <f>IF(K48=0,0,K48)</f>
        <v>1165.0979066775853</v>
      </c>
      <c r="L49" s="60" t="s">
        <v>557</v>
      </c>
      <c r="T49" s="8"/>
    </row>
    <row r="50" spans="4:33" x14ac:dyDescent="0.3">
      <c r="D50" s="59" t="s">
        <v>992</v>
      </c>
      <c r="E50" s="14"/>
      <c r="G50" t="s">
        <v>962</v>
      </c>
      <c r="K50" s="11">
        <f>K49</f>
        <v>1165.0979066775853</v>
      </c>
      <c r="L50" s="60" t="s">
        <v>563</v>
      </c>
      <c r="R50" s="8"/>
      <c r="T50" s="8"/>
      <c r="AF50" s="12" t="s">
        <v>978</v>
      </c>
      <c r="AG50" s="12" t="str">
        <f>AG12</f>
        <v>XFMR Pri</v>
      </c>
    </row>
    <row r="51" spans="4:33" x14ac:dyDescent="0.3">
      <c r="D51" s="9"/>
      <c r="E51" s="9"/>
      <c r="Q51" s="8"/>
      <c r="T51" s="8"/>
      <c r="W51" s="8"/>
      <c r="AF51" s="12" t="s">
        <v>137</v>
      </c>
      <c r="AG51" s="11">
        <f>IF(AG50="GEN bus",AF28,IF(AG12="XFMR pri",Power!W28,Power!Z28))</f>
        <v>58.571766439527252</v>
      </c>
    </row>
    <row r="52" spans="4:33" x14ac:dyDescent="0.3">
      <c r="D52" s="59" t="s">
        <v>991</v>
      </c>
      <c r="E52" s="9"/>
      <c r="G52" t="s">
        <v>962</v>
      </c>
      <c r="Q52" s="8"/>
      <c r="T52" s="8"/>
      <c r="W52" s="8"/>
      <c r="AF52" s="12" t="s">
        <v>0</v>
      </c>
      <c r="AG52" s="11">
        <f>T19</f>
        <v>1400</v>
      </c>
    </row>
    <row r="53" spans="4:33" x14ac:dyDescent="0.3">
      <c r="D53" s="113"/>
      <c r="E53" s="9"/>
      <c r="K53" t="s">
        <v>185</v>
      </c>
      <c r="L53" s="8" t="str">
        <f>AG2</f>
        <v>UTILITY</v>
      </c>
      <c r="Q53" s="8"/>
      <c r="T53" s="8"/>
      <c r="W53" s="8"/>
      <c r="AF53" s="12" t="s">
        <v>18</v>
      </c>
      <c r="AG53" s="11">
        <f>T16</f>
        <v>1260</v>
      </c>
    </row>
    <row r="54" spans="4:33" x14ac:dyDescent="0.3">
      <c r="D54" s="59" t="s">
        <v>1002</v>
      </c>
      <c r="E54" s="9"/>
      <c r="G54" t="s">
        <v>1003</v>
      </c>
      <c r="K54" s="461">
        <f>IF(L53="UTILITY",Z40,AC40)</f>
        <v>1400</v>
      </c>
      <c r="L54" s="12" t="s">
        <v>999</v>
      </c>
      <c r="Q54" s="8"/>
      <c r="T54" s="8"/>
      <c r="W54" s="8"/>
      <c r="AF54" s="12" t="s">
        <v>176</v>
      </c>
      <c r="AG54" s="56">
        <f>T20</f>
        <v>0.9</v>
      </c>
    </row>
    <row r="55" spans="4:33" x14ac:dyDescent="0.3">
      <c r="E55" s="14"/>
      <c r="F55" s="9"/>
      <c r="K55" s="11">
        <f>IF(L53="UTILITY",K37,K47)</f>
        <v>1515.5444566227677</v>
      </c>
      <c r="L55" s="12" t="s">
        <v>560</v>
      </c>
      <c r="Q55" s="8"/>
      <c r="T55" s="8"/>
      <c r="W55" s="8"/>
      <c r="AF55" s="12" t="s">
        <v>979</v>
      </c>
      <c r="AG55" s="12">
        <f>IF(AG12="GEN bus",AC40,Z40)</f>
        <v>1400</v>
      </c>
    </row>
    <row r="56" spans="4:33" x14ac:dyDescent="0.3">
      <c r="E56" s="14"/>
      <c r="F56" s="9"/>
      <c r="K56" s="11">
        <f>IF(L53="UTILITY",K40,K50)</f>
        <v>734.01168120687828</v>
      </c>
      <c r="L56" s="12" t="s">
        <v>563</v>
      </c>
    </row>
    <row r="57" spans="4:33" ht="15.75" customHeight="1" x14ac:dyDescent="0.3">
      <c r="T57" s="8"/>
      <c r="W57" s="7"/>
    </row>
    <row r="58" spans="4:33" ht="15.75" customHeight="1" x14ac:dyDescent="0.3"/>
    <row r="59" spans="4:33" ht="15.75" customHeight="1" x14ac:dyDescent="0.3">
      <c r="T59" s="8"/>
    </row>
    <row r="60" spans="4:33" ht="15.75" customHeight="1" x14ac:dyDescent="0.3">
      <c r="T60" s="8"/>
    </row>
    <row r="61" spans="4:33" ht="15.75" customHeight="1" x14ac:dyDescent="0.3"/>
    <row r="62" spans="4:33" ht="15.75" customHeight="1" x14ac:dyDescent="0.3"/>
    <row r="63" spans="4:33" ht="15.75" customHeight="1" x14ac:dyDescent="0.3"/>
    <row r="64" spans="4:33" ht="15.75" customHeight="1" x14ac:dyDescent="0.3"/>
    <row r="65" ht="45" customHeight="1" x14ac:dyDescent="0.3"/>
    <row r="66" ht="45" customHeight="1" x14ac:dyDescent="0.3"/>
    <row r="67" ht="45" customHeight="1" x14ac:dyDescent="0.3"/>
    <row r="68" ht="45" customHeight="1" x14ac:dyDescent="0.3"/>
    <row r="69" ht="45" customHeight="1" x14ac:dyDescent="0.3"/>
  </sheetData>
  <sheetProtection password="EDB7" sheet="1" objects="1" scenarios="1"/>
  <mergeCells count="1">
    <mergeCell ref="K2:L2"/>
  </mergeCells>
  <pageMargins left="0.7" right="0.7" top="0.75" bottom="0.75" header="0.3" footer="0.3"/>
  <pageSetup scale="72" fitToWidth="2"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24"/>
  <sheetViews>
    <sheetView workbookViewId="0">
      <selection activeCell="A2" sqref="A2"/>
    </sheetView>
  </sheetViews>
  <sheetFormatPr defaultColWidth="9.109375" defaultRowHeight="13.2" x14ac:dyDescent="0.25"/>
  <cols>
    <col min="1" max="16384" width="9.109375" style="418"/>
  </cols>
  <sheetData>
    <row r="1" spans="1:14" x14ac:dyDescent="0.25">
      <c r="A1" s="417" t="s">
        <v>835</v>
      </c>
      <c r="B1" s="417"/>
      <c r="H1" s="419"/>
      <c r="I1" s="419"/>
      <c r="J1" s="420"/>
      <c r="K1" s="419"/>
      <c r="L1" s="420"/>
      <c r="M1" s="419"/>
      <c r="N1" s="419"/>
    </row>
    <row r="2" spans="1:14" x14ac:dyDescent="0.25">
      <c r="B2" s="417"/>
      <c r="C2" s="417"/>
      <c r="H2" s="419"/>
      <c r="I2" s="419"/>
      <c r="J2" s="420"/>
      <c r="K2" s="419"/>
      <c r="L2" s="420"/>
      <c r="M2" s="419"/>
      <c r="N2" s="419"/>
    </row>
    <row r="3" spans="1:14" x14ac:dyDescent="0.25">
      <c r="B3" s="417" t="s">
        <v>119</v>
      </c>
      <c r="M3" s="419"/>
      <c r="N3" s="419"/>
    </row>
    <row r="4" spans="1:14" x14ac:dyDescent="0.25">
      <c r="C4" s="418">
        <f>Power!Z4</f>
        <v>2000</v>
      </c>
      <c r="D4" s="418" t="s">
        <v>826</v>
      </c>
      <c r="G4" s="418" t="s">
        <v>826</v>
      </c>
      <c r="H4" s="418">
        <v>0</v>
      </c>
      <c r="I4" s="418">
        <v>1000</v>
      </c>
      <c r="J4" s="418">
        <v>1500</v>
      </c>
    </row>
    <row r="5" spans="1:14" x14ac:dyDescent="0.25">
      <c r="C5" s="421">
        <f>Power!Z8</f>
        <v>2405.6261216234407</v>
      </c>
      <c r="D5" s="418" t="s">
        <v>827</v>
      </c>
      <c r="G5" s="418" t="s">
        <v>828</v>
      </c>
      <c r="H5" s="418">
        <v>0.08</v>
      </c>
      <c r="I5" s="418">
        <v>0.12</v>
      </c>
      <c r="J5" s="418">
        <v>0.15</v>
      </c>
      <c r="M5" s="419"/>
      <c r="N5" s="419"/>
    </row>
    <row r="6" spans="1:14" x14ac:dyDescent="0.25">
      <c r="C6" s="418">
        <f>HLOOKUP(C4,H4:J5,2)</f>
        <v>0.15</v>
      </c>
      <c r="D6" s="418" t="s">
        <v>828</v>
      </c>
      <c r="M6" s="419"/>
      <c r="N6" s="419"/>
    </row>
    <row r="7" spans="1:14" x14ac:dyDescent="0.25">
      <c r="C7" s="422">
        <f>Power!AF41</f>
        <v>1</v>
      </c>
      <c r="D7" s="418" t="s">
        <v>119</v>
      </c>
      <c r="G7" s="418" t="s">
        <v>829</v>
      </c>
      <c r="K7" s="419"/>
      <c r="L7" s="419"/>
      <c r="M7" s="419"/>
      <c r="N7" s="419"/>
    </row>
    <row r="8" spans="1:14" x14ac:dyDescent="0.25">
      <c r="C8" s="422">
        <f>SQRT((1+C6)/(1+C7*C6))</f>
        <v>1</v>
      </c>
      <c r="D8" s="418" t="s">
        <v>830</v>
      </c>
      <c r="G8" s="418" t="s">
        <v>831</v>
      </c>
      <c r="M8" s="419"/>
      <c r="N8" s="419"/>
    </row>
    <row r="9" spans="1:14" x14ac:dyDescent="0.25">
      <c r="C9" s="423">
        <f>C8*C5</f>
        <v>2405.6261216234407</v>
      </c>
      <c r="D9" s="418" t="s">
        <v>832</v>
      </c>
      <c r="H9" s="419"/>
    </row>
    <row r="10" spans="1:14" x14ac:dyDescent="0.25">
      <c r="C10" s="423">
        <f>Power!Z27</f>
        <v>1683.9382851364085</v>
      </c>
      <c r="D10" s="418" t="s">
        <v>53</v>
      </c>
      <c r="H10" s="419"/>
      <c r="M10" s="419"/>
      <c r="N10" s="419"/>
    </row>
    <row r="11" spans="1:14" x14ac:dyDescent="0.25">
      <c r="C11" s="424">
        <f>100*C10/C9</f>
        <v>70</v>
      </c>
      <c r="D11" s="418" t="s">
        <v>842</v>
      </c>
      <c r="H11" s="419"/>
      <c r="M11" s="419"/>
      <c r="N11" s="419"/>
    </row>
    <row r="13" spans="1:14" x14ac:dyDescent="0.25">
      <c r="B13" s="417" t="s">
        <v>843</v>
      </c>
      <c r="G13" s="418" t="s">
        <v>844</v>
      </c>
    </row>
    <row r="14" spans="1:14" x14ac:dyDescent="0.25">
      <c r="C14" s="421">
        <f>C5</f>
        <v>2405.6261216234407</v>
      </c>
      <c r="D14" s="419" t="s">
        <v>2</v>
      </c>
    </row>
    <row r="15" spans="1:14" x14ac:dyDescent="0.25">
      <c r="C15" s="421">
        <f>Power!Z28</f>
        <v>1683.9382851364085</v>
      </c>
      <c r="D15" s="419" t="s">
        <v>54</v>
      </c>
    </row>
    <row r="16" spans="1:14" x14ac:dyDescent="0.25">
      <c r="C16" s="425">
        <f>C14-C15</f>
        <v>721.6878364870322</v>
      </c>
      <c r="D16" s="419" t="s">
        <v>834</v>
      </c>
    </row>
    <row r="17" spans="2:7" x14ac:dyDescent="0.25">
      <c r="C17" s="426">
        <f>100*C15/C14</f>
        <v>70</v>
      </c>
      <c r="D17" s="419" t="s">
        <v>833</v>
      </c>
    </row>
    <row r="19" spans="2:7" x14ac:dyDescent="0.25">
      <c r="B19" s="417"/>
    </row>
    <row r="20" spans="2:7" x14ac:dyDescent="0.25">
      <c r="C20" s="427"/>
      <c r="D20" s="419"/>
      <c r="G20" s="428"/>
    </row>
    <row r="21" spans="2:7" x14ac:dyDescent="0.25">
      <c r="C21" s="421"/>
      <c r="D21" s="419"/>
    </row>
    <row r="22" spans="2:7" x14ac:dyDescent="0.25">
      <c r="C22" s="421"/>
      <c r="D22" s="419"/>
    </row>
    <row r="23" spans="2:7" x14ac:dyDescent="0.25">
      <c r="C23" s="425"/>
      <c r="D23" s="419"/>
    </row>
    <row r="24" spans="2:7" x14ac:dyDescent="0.25">
      <c r="C24" s="426"/>
      <c r="D24" s="419"/>
    </row>
  </sheetData>
  <sheetProtection password="EDB7" sheet="1" objects="1" scenarios="1"/>
  <pageMargins left="0.75" right="0.75" top="1" bottom="1" header="0.5" footer="0.5"/>
  <pageSetup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12</vt:i4>
      </vt:variant>
    </vt:vector>
  </HeadingPairs>
  <TitlesOfParts>
    <vt:vector size="54" baseType="lpstr">
      <vt:lpstr>Instructions</vt:lpstr>
      <vt:lpstr>Input</vt:lpstr>
      <vt:lpstr>Report</vt:lpstr>
      <vt:lpstr>Qual Notes</vt:lpstr>
      <vt:lpstr>Drives</vt:lpstr>
      <vt:lpstr>Sum</vt:lpstr>
      <vt:lpstr>IEEE</vt:lpstr>
      <vt:lpstr>Power</vt:lpstr>
      <vt:lpstr>Thermal</vt:lpstr>
      <vt:lpstr>Notes</vt:lpstr>
      <vt:lpstr>Relationships</vt:lpstr>
      <vt:lpstr>A01</vt:lpstr>
      <vt:lpstr>A02</vt:lpstr>
      <vt:lpstr>A03</vt:lpstr>
      <vt:lpstr>A04</vt:lpstr>
      <vt:lpstr>A05</vt:lpstr>
      <vt:lpstr>A06</vt:lpstr>
      <vt:lpstr>A07</vt:lpstr>
      <vt:lpstr>A08</vt:lpstr>
      <vt:lpstr>A09</vt:lpstr>
      <vt:lpstr>B01</vt:lpstr>
      <vt:lpstr>B02</vt:lpstr>
      <vt:lpstr>B03</vt:lpstr>
      <vt:lpstr>B04</vt:lpstr>
      <vt:lpstr>B05</vt:lpstr>
      <vt:lpstr>B06</vt:lpstr>
      <vt:lpstr>B07</vt:lpstr>
      <vt:lpstr>B08</vt:lpstr>
      <vt:lpstr>B09</vt:lpstr>
      <vt:lpstr>C01</vt:lpstr>
      <vt:lpstr>C02</vt:lpstr>
      <vt:lpstr>C03</vt:lpstr>
      <vt:lpstr>C04</vt:lpstr>
      <vt:lpstr>C05</vt:lpstr>
      <vt:lpstr>C06</vt:lpstr>
      <vt:lpstr>C07</vt:lpstr>
      <vt:lpstr>C08</vt:lpstr>
      <vt:lpstr>C09</vt:lpstr>
      <vt:lpstr>D01</vt:lpstr>
      <vt:lpstr>E01</vt:lpstr>
      <vt:lpstr>F01</vt:lpstr>
      <vt:lpstr>G01</vt:lpstr>
      <vt:lpstr>Drive</vt:lpstr>
      <vt:lpstr>Drive_Sel</vt:lpstr>
      <vt:lpstr>Filter_Sel</vt:lpstr>
      <vt:lpstr>PCC_Sel</vt:lpstr>
      <vt:lpstr>Drives!Print_Area</vt:lpstr>
      <vt:lpstr>Input!Print_Area</vt:lpstr>
      <vt:lpstr>Instructions!Print_Area</vt:lpstr>
      <vt:lpstr>Power!Print_Area</vt:lpstr>
      <vt:lpstr>'Qual Notes'!Print_Area</vt:lpstr>
      <vt:lpstr>Qual_Notes</vt:lpstr>
      <vt:lpstr>Source_Sel</vt:lpstr>
      <vt:lpstr>TDD_Sel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Rick L. Hoadley</dc:creator>
  <cp:lastModifiedBy>Rick L. Hoadley</cp:lastModifiedBy>
  <cp:lastPrinted>2020-03-06T02:24:48Z</cp:lastPrinted>
  <dcterms:created xsi:type="dcterms:W3CDTF">2016-06-01T18:34:37Z</dcterms:created>
  <dcterms:modified xsi:type="dcterms:W3CDTF">2022-07-05T20:19:01Z</dcterms:modified>
</cp:coreProperties>
</file>