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MCX91X_Workbook"/>
  <workbookProtection lockStructure="1"/>
  <bookViews>
    <workbookView xWindow="8205" yWindow="15" windowWidth="20205" windowHeight="15810" firstSheet="1" activeTab="1"/>
  </bookViews>
  <sheets>
    <sheet name="Help" sheetId="1" state="hidden" r:id="rId1"/>
    <sheet name="fill in this form" sheetId="2" r:id="rId2"/>
  </sheets>
  <definedNames>
    <definedName name="ABB_OrderNumber">'fill in this form'!$B$9</definedName>
    <definedName name="Bay">'fill in this form'!$B$8</definedName>
    <definedName name="CollectedBy">'fill in this form'!$B$12</definedName>
    <definedName name="CollectedCompany">'fill in this form'!$B$13</definedName>
    <definedName name="CollectedDepartment">'fill in this form'!$B$14</definedName>
    <definedName name="CollectedEmail">'fill in this form'!$B$16</definedName>
    <definedName name="CollectedPhoneNo">'fill in this form'!$B$15</definedName>
    <definedName name="CollectionDate">'fill in this form'!$B$11</definedName>
    <definedName name="CSV_ExportArea">'fill in this form'!$J$2:$K$125</definedName>
    <definedName name="CTcurrent">'fill in this form'!$D$25</definedName>
    <definedName name="CTratio">'fill in this form'!$D$26</definedName>
    <definedName name="CustomerName">'fill in this form'!$B$6</definedName>
    <definedName name="Header">'fill in this form'!$H$2</definedName>
    <definedName name="IoCTcurrent">'fill in this form'!$D$29</definedName>
    <definedName name="IoCTpresent">'fill in this form'!$D$28</definedName>
    <definedName name="IoCTratio">'fill in this form'!$D$30</definedName>
    <definedName name="JumperS4">'fill in this form'!$D$100</definedName>
    <definedName name="MCX_ExcelVersion">'fill in this form'!$K$3</definedName>
    <definedName name="MCX_LastChangeDate">'fill in this form'!$K$6</definedName>
    <definedName name="MCX_LastChangeOS">'fill in this form'!$K$8</definedName>
    <definedName name="MCX_LastChangeTime">'fill in this form'!$K$7</definedName>
    <definedName name="MCX_LastCsvExportDate">'fill in this form'!$K$9</definedName>
    <definedName name="MCX_LastEditor">'fill in this form'!$K$5</definedName>
    <definedName name="Mode_000">'fill in this form'!$D$32</definedName>
    <definedName name="Mode_001">'fill in this form'!$D$34</definedName>
    <definedName name="Mode_002">'fill in this form'!$D$35</definedName>
    <definedName name="Mode_003">'fill in this form'!$D$37</definedName>
    <definedName name="Mode_004">'fill in this form'!$D$38</definedName>
    <definedName name="Mode_005">'fill in this form'!$D$40</definedName>
    <definedName name="Mode_006">'fill in this form'!$D$41</definedName>
    <definedName name="Mode_007">'fill in this form'!$D$43</definedName>
    <definedName name="Mode_008">'fill in this form'!$D$44</definedName>
    <definedName name="Mode_009">'fill in this form'!$D$45</definedName>
    <definedName name="Mode_010">'fill in this form'!$D$46</definedName>
    <definedName name="Mode_011">'fill in this form'!$D$48</definedName>
    <definedName name="Mode_012">'fill in this form'!$D$49</definedName>
    <definedName name="Mode_013">'fill in this form'!$D$51</definedName>
    <definedName name="Mode_014">'fill in this form'!$D$52</definedName>
    <definedName name="Mode_015">'fill in this form'!$D$54</definedName>
    <definedName name="Mode_016">'fill in this form'!$D$55</definedName>
    <definedName name="Mode_017">'fill in this form'!$D$58</definedName>
    <definedName name="Mode_018">'fill in this form'!$D$59</definedName>
    <definedName name="Mode_019">'fill in this form'!$D$60</definedName>
    <definedName name="Mode_020">'fill in this form'!$D$62</definedName>
    <definedName name="Mode_021">'fill in this form'!$D$63</definedName>
    <definedName name="Mode_030">'fill in this form'!$D$65</definedName>
    <definedName name="Mode_031">'fill in this form'!$D$66</definedName>
    <definedName name="Mode_032">'fill in this form'!$D$67</definedName>
    <definedName name="Mode_033">'fill in this form'!$D$68</definedName>
    <definedName name="Mode_034">'fill in this form'!$D$69</definedName>
    <definedName name="Mode_038">'fill in this form'!$D$70</definedName>
    <definedName name="Mode_039">'fill in this form'!$D$71</definedName>
    <definedName name="Mode_040">'fill in this form'!$D$73</definedName>
    <definedName name="Mode_041">'fill in this form'!$D$75</definedName>
    <definedName name="Mode_042">'fill in this form'!$D$76</definedName>
    <definedName name="Mode_043">'fill in this form'!$D$78</definedName>
    <definedName name="Mode_044">'fill in this form'!$D$79</definedName>
    <definedName name="Mode_045">'fill in this form'!$D$81</definedName>
    <definedName name="Mode_046">'fill in this form'!$D$82</definedName>
    <definedName name="Mode_047">'fill in this form'!$D$84</definedName>
    <definedName name="Mode_101">'fill in this form'!$D$86:$G$86</definedName>
    <definedName name="Mode_103">'fill in this form'!$D$87:$G$87</definedName>
    <definedName name="Mode_105">'fill in this form'!$D$88:$G$88</definedName>
    <definedName name="Mode_107">'fill in this form'!$D$89:$G$89</definedName>
    <definedName name="Mode_111">'fill in this form'!$D$90:$G$90</definedName>
    <definedName name="Mode_113">'fill in this form'!$D$91:$G$91</definedName>
    <definedName name="Mode_115">'fill in this form'!$D$92:$G$92</definedName>
    <definedName name="Mode_117">'fill in this form'!$D$93:$G$93</definedName>
    <definedName name="Mode_120">'fill in this form'!$D$94:$G$94</definedName>
    <definedName name="Mode_130">'fill in this form'!$D$95:$G$95</definedName>
    <definedName name="Mode_141">'fill in this form'!$D$96:$G$96</definedName>
    <definedName name="Mode_143">'fill in this form'!$D$97:$G$97</definedName>
    <definedName name="Mode_145">'fill in this form'!$D$98:$G$98</definedName>
    <definedName name="MotorSstartUpTime">'fill in this form'!$D$57</definedName>
    <definedName name="_xlnm.Print_Area" localSheetId="1">'fill in this form'!$A$2:$H$105</definedName>
    <definedName name="ProtRevNo">'fill in this form'!$H$4</definedName>
    <definedName name="RelayDesignation">'fill in this form'!$D$18</definedName>
    <definedName name="RelayRatedCurrent">'fill in this form'!$D$21</definedName>
    <definedName name="RelayRatedFrequency">'fill in this form'!$D$22</definedName>
    <definedName name="RelaySerialNumber">'fill in this form'!$B$19</definedName>
    <definedName name="RelaySupplyVoltage">'fill in this form'!$D$23</definedName>
    <definedName name="RelayType">'fill in this form'!$D$20</definedName>
    <definedName name="Substation">'fill in this form'!$B$7</definedName>
    <definedName name="Switch65_1">'fill in this form'!$D$102</definedName>
    <definedName name="Switch65_2">'fill in this form'!$D$103</definedName>
    <definedName name="Switch65_3">'fill in this form'!$D$104</definedName>
    <definedName name="Switch65_4">'fill in this form'!$D$105</definedName>
    <definedName name="ToolVersion">'fill in this form'!$H$3</definedName>
  </definedNames>
  <calcPr fullCalcOnLoad="1"/>
</workbook>
</file>

<file path=xl/sharedStrings.xml><?xml version="1.0" encoding="utf-8"?>
<sst xmlns="http://schemas.openxmlformats.org/spreadsheetml/2006/main" count="359" uniqueCount="285">
  <si>
    <t>Relay type</t>
  </si>
  <si>
    <t>A</t>
  </si>
  <si>
    <t>Relay rated current</t>
  </si>
  <si>
    <t>Relay rated frequency</t>
  </si>
  <si>
    <t>Relay auxiliary supply voltage</t>
  </si>
  <si>
    <t>Hz</t>
  </si>
  <si>
    <t>Relay type designation</t>
  </si>
  <si>
    <r>
      <t>I</t>
    </r>
    <r>
      <rPr>
        <vertAlign val="subscript"/>
        <sz val="10"/>
        <rFont val="Arial"/>
        <family val="2"/>
      </rPr>
      <t>NR</t>
    </r>
  </si>
  <si>
    <t>CT ratio</t>
  </si>
  <si>
    <r>
      <t>K</t>
    </r>
    <r>
      <rPr>
        <vertAlign val="subscript"/>
        <sz val="10"/>
        <rFont val="Arial"/>
        <family val="2"/>
      </rPr>
      <t>I</t>
    </r>
  </si>
  <si>
    <t>Io CT ratio</t>
  </si>
  <si>
    <t>MCX-Relay setting values</t>
  </si>
  <si>
    <t>Setting current</t>
  </si>
  <si>
    <r>
      <t>I</t>
    </r>
    <r>
      <rPr>
        <vertAlign val="subscript"/>
        <sz val="10"/>
        <rFont val="Arial"/>
        <family val="2"/>
      </rPr>
      <t>E</t>
    </r>
  </si>
  <si>
    <t>s</t>
  </si>
  <si>
    <t>I&gt;&gt;1 Short circuit protection</t>
  </si>
  <si>
    <t>I&gt;&gt;1 Time lag</t>
  </si>
  <si>
    <t>I&gt;1 Overcurrent protection</t>
  </si>
  <si>
    <t>I&gt;1 Time lag</t>
  </si>
  <si>
    <r>
      <t>I</t>
    </r>
    <r>
      <rPr>
        <vertAlign val="subscript"/>
        <sz val="10"/>
        <rFont val="Arial"/>
        <family val="2"/>
      </rPr>
      <t>2</t>
    </r>
  </si>
  <si>
    <t>NPS protection</t>
  </si>
  <si>
    <t>NPS Time lag</t>
  </si>
  <si>
    <r>
      <t>tI</t>
    </r>
    <r>
      <rPr>
        <vertAlign val="subscript"/>
        <sz val="10"/>
        <rFont val="Arial"/>
        <family val="2"/>
      </rPr>
      <t>2</t>
    </r>
  </si>
  <si>
    <t>Io C.t. ratio</t>
  </si>
  <si>
    <t>Io Earth·fault protection</t>
  </si>
  <si>
    <t>Io Time lag</t>
  </si>
  <si>
    <t>Io</t>
  </si>
  <si>
    <t>tIo</t>
  </si>
  <si>
    <t>k</t>
  </si>
  <si>
    <r>
      <t>I</t>
    </r>
    <r>
      <rPr>
        <vertAlign val="subscript"/>
        <sz val="10"/>
        <rFont val="Arial"/>
        <family val="2"/>
      </rPr>
      <t>bl.R.</t>
    </r>
  </si>
  <si>
    <r>
      <t>I</t>
    </r>
    <r>
      <rPr>
        <vertAlign val="subscript"/>
        <sz val="10"/>
        <rFont val="Arial"/>
        <family val="2"/>
      </rPr>
      <t>start</t>
    </r>
  </si>
  <si>
    <r>
      <t>I²T</t>
    </r>
    <r>
      <rPr>
        <vertAlign val="subscript"/>
        <sz val="10"/>
        <rFont val="Arial"/>
        <family val="2"/>
      </rPr>
      <t>start</t>
    </r>
  </si>
  <si>
    <r>
      <t>I</t>
    </r>
    <r>
      <rPr>
        <vertAlign val="subscript"/>
        <sz val="10"/>
        <rFont val="Arial"/>
        <family val="2"/>
      </rPr>
      <t>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</t>
    </r>
  </si>
  <si>
    <r>
      <t>t</t>
    </r>
    <r>
      <rPr>
        <vertAlign val="subscript"/>
        <sz val="10"/>
        <rFont val="Arial"/>
        <family val="2"/>
      </rPr>
      <t>bl.R.</t>
    </r>
  </si>
  <si>
    <t>I&gt;&gt;2 Short circuit protection</t>
  </si>
  <si>
    <t>I&gt;&gt;2 Time lag</t>
  </si>
  <si>
    <r>
      <t>I&gt;&gt;</t>
    </r>
    <r>
      <rPr>
        <vertAlign val="subscript"/>
        <sz val="10"/>
        <rFont val="Arial"/>
        <family val="2"/>
      </rPr>
      <t>1</t>
    </r>
  </si>
  <si>
    <r>
      <t>tI&gt;&gt;</t>
    </r>
    <r>
      <rPr>
        <vertAlign val="subscript"/>
        <sz val="10"/>
        <rFont val="Arial"/>
        <family val="2"/>
      </rPr>
      <t>1</t>
    </r>
  </si>
  <si>
    <r>
      <t>I&gt;&gt;</t>
    </r>
    <r>
      <rPr>
        <vertAlign val="subscript"/>
        <sz val="10"/>
        <rFont val="Arial"/>
        <family val="2"/>
      </rPr>
      <t>2</t>
    </r>
  </si>
  <si>
    <r>
      <t>tI&gt;&gt;</t>
    </r>
    <r>
      <rPr>
        <vertAlign val="subscript"/>
        <sz val="10"/>
        <rFont val="Arial"/>
        <family val="2"/>
      </rPr>
      <t>2</t>
    </r>
  </si>
  <si>
    <r>
      <t>I&gt;</t>
    </r>
    <r>
      <rPr>
        <vertAlign val="subscript"/>
        <sz val="10"/>
        <rFont val="Arial"/>
        <family val="2"/>
      </rPr>
      <t>2</t>
    </r>
  </si>
  <si>
    <r>
      <t>tI&gt;</t>
    </r>
    <r>
      <rPr>
        <vertAlign val="subscript"/>
        <sz val="10"/>
        <rFont val="Arial"/>
        <family val="2"/>
      </rPr>
      <t>2</t>
    </r>
  </si>
  <si>
    <r>
      <t>I&gt;</t>
    </r>
    <r>
      <rPr>
        <vertAlign val="subscript"/>
        <sz val="10"/>
        <rFont val="Arial"/>
        <family val="2"/>
      </rPr>
      <t>3</t>
    </r>
  </si>
  <si>
    <r>
      <t>tI&gt;</t>
    </r>
    <r>
      <rPr>
        <vertAlign val="subscript"/>
        <sz val="10"/>
        <rFont val="Arial"/>
        <family val="2"/>
      </rPr>
      <t>3</t>
    </r>
  </si>
  <si>
    <t>I&gt;2 Overcurrent protection</t>
  </si>
  <si>
    <t>I&gt;2 Time lag</t>
  </si>
  <si>
    <t>I&gt;3 Overcurrent protection</t>
  </si>
  <si>
    <t>I&gt;3 Time lag</t>
  </si>
  <si>
    <t>IblR Locked rotor protection</t>
  </si>
  <si>
    <t>IblR Time lag</t>
  </si>
  <si>
    <r>
      <t>N</t>
    </r>
    <r>
      <rPr>
        <vertAlign val="subscript"/>
        <sz val="10"/>
        <rFont val="Arial"/>
        <family val="2"/>
      </rPr>
      <t>cold</t>
    </r>
  </si>
  <si>
    <r>
      <t>N</t>
    </r>
    <r>
      <rPr>
        <vertAlign val="subscript"/>
        <sz val="10"/>
        <rFont val="Arial"/>
        <family val="2"/>
      </rPr>
      <t>warm</t>
    </r>
  </si>
  <si>
    <t>Number of motor starts from cold</t>
  </si>
  <si>
    <t>Number of motor starts from warm state</t>
  </si>
  <si>
    <t>Start with overheating</t>
  </si>
  <si>
    <t>Heating time constant</t>
  </si>
  <si>
    <t>Cooling time constant</t>
  </si>
  <si>
    <t>%</t>
  </si>
  <si>
    <t>min</t>
  </si>
  <si>
    <t>Jumper S4 position</t>
  </si>
  <si>
    <t>S65 switch 1 signalling relay MRI</t>
  </si>
  <si>
    <t>Switch S65 state (Settings for selective relay blocking)</t>
  </si>
  <si>
    <t>S65 switch 2 signalling relay MRII</t>
  </si>
  <si>
    <t>S65 switch 3 tripping relay ARI</t>
  </si>
  <si>
    <t>S65 switch 4 tripping relay ARII</t>
  </si>
  <si>
    <t>Jumper S4 
(General  blocking setting for selective relay or complete protection relay)</t>
  </si>
  <si>
    <t>I&lt;</t>
  </si>
  <si>
    <t>I&lt; Protection against low load</t>
  </si>
  <si>
    <t>tI&lt;</t>
  </si>
  <si>
    <t>Time for N=N-1</t>
  </si>
  <si>
    <r>
      <t>t</t>
    </r>
    <r>
      <rPr>
        <vertAlign val="subscript"/>
        <sz val="10"/>
        <rFont val="Arial"/>
        <family val="2"/>
      </rPr>
      <t>N-1</t>
    </r>
  </si>
  <si>
    <r>
      <t>N</t>
    </r>
    <r>
      <rPr>
        <vertAlign val="subscript"/>
        <sz val="10"/>
        <rFont val="Arial"/>
        <family val="2"/>
      </rPr>
      <t>S</t>
    </r>
  </si>
  <si>
    <t>Tripping matrix settings</t>
  </si>
  <si>
    <t>Function selection</t>
  </si>
  <si>
    <t>I&lt; Time lag</t>
  </si>
  <si>
    <r>
      <t>k</t>
    </r>
    <r>
      <rPr>
        <vertAlign val="subscript"/>
        <sz val="10"/>
        <rFont val="Arial"/>
        <family val="2"/>
      </rPr>
      <t>TE</t>
    </r>
  </si>
  <si>
    <t>Digit 3
MR I</t>
  </si>
  <si>
    <t>Digit 2
MR II</t>
  </si>
  <si>
    <t>Digit 1
AR I</t>
  </si>
  <si>
    <t>Digit 0
AR II</t>
  </si>
  <si>
    <r>
      <t>I&gt;</t>
    </r>
    <r>
      <rPr>
        <vertAlign val="subscript"/>
        <sz val="10"/>
        <rFont val="Arial"/>
        <family val="2"/>
      </rPr>
      <t>1</t>
    </r>
  </si>
  <si>
    <r>
      <t>N</t>
    </r>
    <r>
      <rPr>
        <vertAlign val="subscript"/>
        <sz val="10"/>
        <rFont val="Arial"/>
        <family val="2"/>
      </rPr>
      <t>cold</t>
    </r>
    <r>
      <rPr>
        <sz val="10"/>
        <rFont val="Arial"/>
        <family val="2"/>
      </rPr>
      <t>, N</t>
    </r>
    <r>
      <rPr>
        <vertAlign val="subscript"/>
        <sz val="10"/>
        <rFont val="Arial"/>
        <family val="2"/>
      </rPr>
      <t>warm</t>
    </r>
  </si>
  <si>
    <t>Io CT primary rated current</t>
  </si>
  <si>
    <t>CT primary rated current</t>
  </si>
  <si>
    <t>Istart Starting protection</t>
  </si>
  <si>
    <t>Istart I²T permitted for start</t>
  </si>
  <si>
    <t>CTRL 1</t>
  </si>
  <si>
    <r>
      <t>tI&gt;</t>
    </r>
    <r>
      <rPr>
        <vertAlign val="subscript"/>
        <sz val="10"/>
        <rFont val="Arial"/>
        <family val="2"/>
      </rPr>
      <t>1</t>
    </r>
  </si>
  <si>
    <r>
      <t>D</t>
    </r>
    <r>
      <rPr>
        <sz val="10"/>
        <rFont val="SymbolPS"/>
        <family val="1"/>
      </rPr>
      <t>J</t>
    </r>
    <r>
      <rPr>
        <vertAlign val="subscript"/>
        <sz val="10"/>
        <rFont val="Arial"/>
        <family val="2"/>
      </rPr>
      <t>3</t>
    </r>
  </si>
  <si>
    <r>
      <t xml:space="preserve">Temperature rise </t>
    </r>
    <r>
      <rPr>
        <sz val="10"/>
        <rFont val="SymbolPS"/>
        <family val="1"/>
      </rPr>
      <t>DJ</t>
    </r>
    <r>
      <rPr>
        <vertAlign val="subscript"/>
        <sz val="10"/>
        <rFont val="Arial"/>
        <family val="2"/>
      </rPr>
      <t>3</t>
    </r>
  </si>
  <si>
    <r>
      <t>D</t>
    </r>
    <r>
      <rPr>
        <sz val="10"/>
        <rFont val="SymbolPS"/>
        <family val="1"/>
      </rPr>
      <t>J</t>
    </r>
    <r>
      <rPr>
        <vertAlign val="subscript"/>
        <sz val="10"/>
        <rFont val="Arial"/>
        <family val="2"/>
      </rPr>
      <t>1</t>
    </r>
  </si>
  <si>
    <r>
      <t>D</t>
    </r>
    <r>
      <rPr>
        <sz val="10"/>
        <rFont val="SymbolPS"/>
        <family val="1"/>
      </rPr>
      <t>J</t>
    </r>
    <r>
      <rPr>
        <vertAlign val="subscript"/>
        <sz val="10"/>
        <rFont val="Arial"/>
        <family val="2"/>
      </rPr>
      <t>2</t>
    </r>
  </si>
  <si>
    <r>
      <t xml:space="preserve">Temperature rise </t>
    </r>
    <r>
      <rPr>
        <sz val="10"/>
        <rFont val="SymbolPS"/>
        <family val="1"/>
      </rPr>
      <t>DJ</t>
    </r>
    <r>
      <rPr>
        <vertAlign val="subscript"/>
        <sz val="10"/>
        <rFont val="Arial"/>
        <family val="2"/>
      </rPr>
      <t>1</t>
    </r>
  </si>
  <si>
    <r>
      <t xml:space="preserve">Temperature rise </t>
    </r>
    <r>
      <rPr>
        <sz val="10"/>
        <rFont val="SymbolPS"/>
        <family val="1"/>
      </rPr>
      <t>DJ</t>
    </r>
    <r>
      <rPr>
        <vertAlign val="subscript"/>
        <sz val="10"/>
        <rFont val="Arial"/>
        <family val="2"/>
      </rPr>
      <t>2</t>
    </r>
  </si>
  <si>
    <r>
      <t xml:space="preserve">Reset for </t>
    </r>
    <r>
      <rPr>
        <sz val="10"/>
        <rFont val="SymbolPS"/>
        <family val="1"/>
      </rPr>
      <t>DJ</t>
    </r>
    <r>
      <rPr>
        <vertAlign val="subscript"/>
        <sz val="10"/>
        <rFont val="Arial"/>
        <family val="2"/>
      </rPr>
      <t>2</t>
    </r>
  </si>
  <si>
    <r>
      <t>HD</t>
    </r>
    <r>
      <rPr>
        <sz val="10"/>
        <rFont val="SymbolPS"/>
        <family val="1"/>
      </rPr>
      <t>J</t>
    </r>
  </si>
  <si>
    <r>
      <t>DJ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automatic</t>
    </r>
  </si>
  <si>
    <r>
      <t>DJ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manual</t>
    </r>
  </si>
  <si>
    <r>
      <t>DJ</t>
    </r>
    <r>
      <rPr>
        <vertAlign val="subscript"/>
        <sz val="10"/>
        <rFont val="Arial"/>
        <family val="2"/>
      </rPr>
      <t>0</t>
    </r>
  </si>
  <si>
    <t>t­</t>
  </si>
  <si>
    <t>t¯</t>
  </si>
  <si>
    <t>Substation designation</t>
  </si>
  <si>
    <t>Bay designation</t>
  </si>
  <si>
    <t>Parameter collection information</t>
  </si>
  <si>
    <t>Customer and plant information</t>
  </si>
  <si>
    <t>Collection Date</t>
  </si>
  <si>
    <t>Collected by</t>
  </si>
  <si>
    <t>Company</t>
  </si>
  <si>
    <t>Department</t>
  </si>
  <si>
    <t>E-mail address</t>
  </si>
  <si>
    <t>Phone number</t>
  </si>
  <si>
    <t>Short circuit protection I&gt;&gt; Instance: 1</t>
  </si>
  <si>
    <t>Overcurrent protection I&gt; Instance: 1</t>
  </si>
  <si>
    <t>Negative phase sequence protection</t>
  </si>
  <si>
    <t>Locked rotor protection</t>
  </si>
  <si>
    <t>Protection against too many motor starts</t>
  </si>
  <si>
    <t>Thermal overload protection</t>
  </si>
  <si>
    <t>Short circuit protection I&gt;&gt; Instance: 2</t>
  </si>
  <si>
    <t>Overcurrent protection I&gt; Instance: 2</t>
  </si>
  <si>
    <t>Overcurrent protection I&gt; Instance: 3</t>
  </si>
  <si>
    <t>Put protection function groups out of action</t>
  </si>
  <si>
    <r>
      <t>K</t>
    </r>
    <r>
      <rPr>
        <vertAlign val="subscript"/>
        <sz val="10"/>
        <rFont val="Arial"/>
        <family val="2"/>
      </rPr>
      <t>Io</t>
    </r>
  </si>
  <si>
    <t>Io Is a Io current transformer present?</t>
  </si>
  <si>
    <t>MCX 912 / 913 Parameter Collection Form</t>
  </si>
  <si>
    <t>Mode 00</t>
  </si>
  <si>
    <t>Mode 01</t>
  </si>
  <si>
    <t>Mode 02</t>
  </si>
  <si>
    <t>Mode 03</t>
  </si>
  <si>
    <t>Mode 04</t>
  </si>
  <si>
    <t>Mode 05</t>
  </si>
  <si>
    <t>Mode 06</t>
  </si>
  <si>
    <t>Mode 07</t>
  </si>
  <si>
    <t>Mode 08</t>
  </si>
  <si>
    <t>Mode 09</t>
  </si>
  <si>
    <t>Mode 10</t>
  </si>
  <si>
    <t>Mode 11</t>
  </si>
  <si>
    <t>Mode 12</t>
  </si>
  <si>
    <t>Mode 13</t>
  </si>
  <si>
    <t>Mode 14</t>
  </si>
  <si>
    <t>Mode 15</t>
  </si>
  <si>
    <t>Mode 16</t>
  </si>
  <si>
    <t>Mode 17</t>
  </si>
  <si>
    <t>Mode 18</t>
  </si>
  <si>
    <t>Mode 19</t>
  </si>
  <si>
    <t>Mode 20</t>
  </si>
  <si>
    <t>Mode 21</t>
  </si>
  <si>
    <t>Mode 30</t>
  </si>
  <si>
    <t>Mode 31</t>
  </si>
  <si>
    <t>Mode 32</t>
  </si>
  <si>
    <t>Mode 33</t>
  </si>
  <si>
    <t>Mode 34</t>
  </si>
  <si>
    <t>Mode 38</t>
  </si>
  <si>
    <t>Mode 39</t>
  </si>
  <si>
    <t>Mode 40</t>
  </si>
  <si>
    <t>Mode 41</t>
  </si>
  <si>
    <t>Mode 42</t>
  </si>
  <si>
    <t>Mode 43</t>
  </si>
  <si>
    <t>Mode 44</t>
  </si>
  <si>
    <t>Mode 45</t>
  </si>
  <si>
    <t>Mode 46</t>
  </si>
  <si>
    <t>Mode 47</t>
  </si>
  <si>
    <t>Mode 101</t>
  </si>
  <si>
    <t>Mode 103</t>
  </si>
  <si>
    <t>Mode 105</t>
  </si>
  <si>
    <t>Mode 107</t>
  </si>
  <si>
    <t>Mode 111</t>
  </si>
  <si>
    <t>Mode 113</t>
  </si>
  <si>
    <t>Mode 115</t>
  </si>
  <si>
    <t>Mode 117</t>
  </si>
  <si>
    <t>Mode 120</t>
  </si>
  <si>
    <t>Mode 130</t>
  </si>
  <si>
    <t>Mode 141</t>
  </si>
  <si>
    <t>Mode 143</t>
  </si>
  <si>
    <t>Mode 145</t>
  </si>
  <si>
    <t>Collection date</t>
  </si>
  <si>
    <t>Collection phone number</t>
  </si>
  <si>
    <t>Collection E-mail address</t>
  </si>
  <si>
    <t>Collection department</t>
  </si>
  <si>
    <t>Collection company</t>
  </si>
  <si>
    <t>Motor starting protection</t>
  </si>
  <si>
    <t>Mode_00 Setting current</t>
  </si>
  <si>
    <t>Mode_01 I&gt;&gt;1 Short circuit protection</t>
  </si>
  <si>
    <t>Mode_02 I&gt;&gt;1 Time lag</t>
  </si>
  <si>
    <t>Mode_46 I&gt;3 Time lag</t>
  </si>
  <si>
    <t>Mode_47 Function selection</t>
  </si>
  <si>
    <t>Mode_03 I&gt;1 Overcurrent protection</t>
  </si>
  <si>
    <t>Mode_04 I&gt;1 Time lag</t>
  </si>
  <si>
    <t>Mode_05 NPS protection</t>
  </si>
  <si>
    <t>Mode_06 NPS Time lag</t>
  </si>
  <si>
    <t>Io Earth fault protection</t>
  </si>
  <si>
    <t>Mode_07 Io Earth fault protection</t>
  </si>
  <si>
    <t>Mode_08 Io Time lag</t>
  </si>
  <si>
    <t>Mode_10 Io C.t. ratio</t>
  </si>
  <si>
    <t>Mode_11 IblR Locked rotor protection</t>
  </si>
  <si>
    <t>Mode_12 IblR Time lag</t>
  </si>
  <si>
    <t>Mode_13 Istart Starting protection</t>
  </si>
  <si>
    <t>Mode_14 Istart I²T permitted for start</t>
  </si>
  <si>
    <t>Mode_15 I&lt; Protection against low load</t>
  </si>
  <si>
    <t>Mode_16 I&lt; Time lag</t>
  </si>
  <si>
    <t>Mode_17 Number of motor starts from cold</t>
  </si>
  <si>
    <t>Mode_18 Number of motor starts from warm state</t>
  </si>
  <si>
    <t>Mode_19 Time for N=N-1</t>
  </si>
  <si>
    <t>Mode_21 Start with overheating</t>
  </si>
  <si>
    <t>Mode_45 I&gt;3 Overcurrent protection</t>
  </si>
  <si>
    <t>Mode_44 I&gt;2 Time lag</t>
  </si>
  <si>
    <t>Mode_43 I&gt;2 Overcurrent protection</t>
  </si>
  <si>
    <t>Mode_42 I&gt;&gt;2 Time lag</t>
  </si>
  <si>
    <t>Mode_41 I&gt;&gt;2 Short circuit protection</t>
  </si>
  <si>
    <t>Mode_33 Heating time constant</t>
  </si>
  <si>
    <t>Mode_34 Cooling time constant</t>
  </si>
  <si>
    <t>Mode_09 Io INT / EXT</t>
  </si>
  <si>
    <t>Io INT / EXT</t>
  </si>
  <si>
    <t>Time setting for measurement mean values</t>
  </si>
  <si>
    <t>Measurement mean value setting</t>
  </si>
  <si>
    <t>Mode_40 Time setting for measurement mean values</t>
  </si>
  <si>
    <t>Customer name</t>
  </si>
  <si>
    <t>1.0</t>
  </si>
  <si>
    <t>ABB order number</t>
  </si>
  <si>
    <t>Number of motor starts from cold or warm</t>
  </si>
  <si>
    <r>
      <t>D</t>
    </r>
    <r>
      <rPr>
        <sz val="10"/>
        <rFont val="SymbolPS"/>
        <family val="1"/>
      </rPr>
      <t>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,</t>
    </r>
    <r>
      <rPr>
        <sz val="10"/>
        <rFont val="Symbol"/>
        <family val="1"/>
      </rPr>
      <t>DJ</t>
    </r>
    <r>
      <rPr>
        <vertAlign val="subscript"/>
        <sz val="10"/>
        <rFont val="Arial"/>
        <family val="2"/>
      </rPr>
      <t>2</t>
    </r>
  </si>
  <si>
    <t>Mode_101 MRI I&gt;&gt;1 Short circuit protection</t>
  </si>
  <si>
    <t>Mode_101 MRII I&gt;&gt;1 Short circuit protection</t>
  </si>
  <si>
    <t>Mode_101 ARI I&gt;&gt;1 Short circuit protection</t>
  </si>
  <si>
    <t>Mode_101 ARII I&gt;&gt;1 Short circuit protection</t>
  </si>
  <si>
    <t>Mode_103 MRI I&gt;1 Overcurrent protection</t>
  </si>
  <si>
    <t>Mode_105 MRI NPS protection</t>
  </si>
  <si>
    <t>Mode_107 MRI Io Earth·fault protection</t>
  </si>
  <si>
    <t>Mode_111 MRI IblR Locked rotor protection</t>
  </si>
  <si>
    <t>Mode_113 MRI Istart Starting protection</t>
  </si>
  <si>
    <t>Mode_115 MRI I&lt; Protection against low load</t>
  </si>
  <si>
    <t>Mode_141 MRI I&gt;&gt;2 Short circuit protection</t>
  </si>
  <si>
    <t>Mode_143 MRI I&gt;2 Overcurrent protection</t>
  </si>
  <si>
    <t>Mode_145 MRI I&gt;3 Overcurrent protection</t>
  </si>
  <si>
    <r>
      <t xml:space="preserve">Temperature rise </t>
    </r>
    <r>
      <rPr>
        <sz val="10"/>
        <rFont val="SymbolPS"/>
        <family val="1"/>
      </rPr>
      <t>DJ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(Warn), </t>
    </r>
    <r>
      <rPr>
        <sz val="10"/>
        <rFont val="Symbol"/>
        <family val="1"/>
      </rPr>
      <t>DJ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(Trip)</t>
    </r>
  </si>
  <si>
    <t>Mode_117 MRI Number of motor starts from cold or warm</t>
  </si>
  <si>
    <t>Mode_103 MRII I&gt;1 Overcurrent protection</t>
  </si>
  <si>
    <t>Mode_105 MRII NPS protection</t>
  </si>
  <si>
    <t>Mode_107 MRII Io Earth·fault protection</t>
  </si>
  <si>
    <t>Mode_111 MRII IblR Locked rotor protection</t>
  </si>
  <si>
    <t>Mode_113 MRII Istart Starting protection</t>
  </si>
  <si>
    <t>Mode_115 MRII I&lt; Protection against low load</t>
  </si>
  <si>
    <t>Mode_117 MRII Number of motor starts from cold or warm</t>
  </si>
  <si>
    <t>Mode_141 MRII I&gt;&gt;2 Short circuit protection</t>
  </si>
  <si>
    <t>Mode_143 MRII I&gt;2 Overcurrent protection</t>
  </si>
  <si>
    <t>Mode_145 MRII I&gt;3 Overcurrent protection</t>
  </si>
  <si>
    <t>Mode_103 ARI I&gt;1 Overcurrent protection</t>
  </si>
  <si>
    <t>Mode_105 ARI NPS protection</t>
  </si>
  <si>
    <t>Mode_107 ARI Io Earth·fault protection</t>
  </si>
  <si>
    <t>Mode_111 ARI IblR Locked rotor protection</t>
  </si>
  <si>
    <t>Mode_113 ARI Istart Starting protection</t>
  </si>
  <si>
    <t>Mode_115 ARI I&lt; Protection against low load</t>
  </si>
  <si>
    <t>Mode_117 ARI Number of motor starts from cold or warm</t>
  </si>
  <si>
    <t>Mode_141 ARI I&gt;&gt;2 Short circuit protection</t>
  </si>
  <si>
    <t>Mode_143 ARI I&gt;2 Overcurrent protection</t>
  </si>
  <si>
    <t>Mode_145 ARI I&gt;3 Overcurrent protection</t>
  </si>
  <si>
    <t>Mode_103 ARII I&gt;1 Overcurrent protection</t>
  </si>
  <si>
    <t>Mode_105 ARII NPS protection</t>
  </si>
  <si>
    <t>Mode_107 ARII Io Earth·fault protection</t>
  </si>
  <si>
    <t>Mode_111 ARII IblR Locked rotor protection</t>
  </si>
  <si>
    <t>Mode_113 ARII Istart Starting protection</t>
  </si>
  <si>
    <t>Mode_115 ARII I&lt; Protection against low load</t>
  </si>
  <si>
    <t>Mode_117 ARII Number of motor starts from cold or warm</t>
  </si>
  <si>
    <t>Mode_141 ARII I&gt;&gt;2 Short circuit protection</t>
  </si>
  <si>
    <t>Mode_143 ARII I&gt;2 Overcurrent protection</t>
  </si>
  <si>
    <t>Mode_145 ARII I&gt;3 Overcurrent protection</t>
  </si>
  <si>
    <t>Relay serial number</t>
  </si>
  <si>
    <t>Io current transformer data</t>
  </si>
  <si>
    <t>Current transformer data</t>
  </si>
  <si>
    <t>Relay data</t>
  </si>
  <si>
    <t>Earth fault protection</t>
  </si>
  <si>
    <t>Protection against low load</t>
  </si>
  <si>
    <t>Tool Version</t>
  </si>
  <si>
    <t>0</t>
  </si>
  <si>
    <t>Protocol Data Revision No</t>
  </si>
  <si>
    <t>MCX 91x protocol data revision no.</t>
  </si>
  <si>
    <t>MCX 91x last editor</t>
  </si>
  <si>
    <t>MCX 91x last change date</t>
  </si>
  <si>
    <t>MCX 91x last change time</t>
  </si>
  <si>
    <t>MCX 91x last change with parameter collection tool version</t>
  </si>
  <si>
    <t>MCX 91x last change with Excel version</t>
  </si>
  <si>
    <t>MCX 91x last change with OS</t>
  </si>
  <si>
    <t>MCX 91x last CSV export date</t>
  </si>
  <si>
    <t>Motor start-up time</t>
  </si>
  <si>
    <r>
      <t>t</t>
    </r>
    <r>
      <rPr>
        <vertAlign val="subscript"/>
        <sz val="10"/>
        <rFont val="Arial"/>
        <family val="2"/>
      </rPr>
      <t>start</t>
    </r>
  </si>
  <si>
    <t>Io is a Io current transformer present?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</si>
</sst>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&quot;Mode&quot;\ @"/>
    <numFmt numFmtId="165" formatCode="[$-407]dddd\,\ d\.\ mmmm\ yyyy"/>
    <numFmt numFmtId="166" formatCode="[$-409]mmmm\ d\,\ yyyy;@"/>
    <numFmt numFmtId="167" formatCode="[$-409]mm/dd/yyyy;@"/>
  </numFmts>
  <fonts count="48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sz val="10"/>
      <name val="SymbolPS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0" xfId="0" applyBorder="1" applyAlignment="1">
      <alignment horizontal="left" vertical="center" inden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0" borderId="13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0" fontId="0" fillId="0" borderId="14" xfId="0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" fontId="7" fillId="33" borderId="15" xfId="0" applyNumberFormat="1" applyFont="1" applyFill="1" applyBorder="1" applyAlignment="1" applyProtection="1">
      <alignment horizontal="center" vertical="center"/>
      <protection locked="0"/>
    </xf>
    <xf numFmtId="1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left" vertical="center"/>
      <protection hidden="1"/>
    </xf>
    <xf numFmtId="0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14" fontId="0" fillId="33" borderId="0" xfId="0" applyNumberFormat="1" applyFill="1" applyAlignment="1" applyProtection="1">
      <alignment horizontal="left" vertical="center"/>
      <protection hidden="1"/>
    </xf>
    <xf numFmtId="0" fontId="0" fillId="33" borderId="0" xfId="0" applyNumberFormat="1" applyFill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horizontal="left" vertical="center"/>
      <protection hidden="1"/>
    </xf>
    <xf numFmtId="49" fontId="0" fillId="34" borderId="0" xfId="0" applyNumberFormat="1" applyFill="1" applyAlignment="1" applyProtection="1">
      <alignment vertical="center"/>
      <protection hidden="1"/>
    </xf>
    <xf numFmtId="49" fontId="0" fillId="0" borderId="0" xfId="0" applyNumberFormat="1" applyFill="1" applyAlignment="1" applyProtection="1">
      <alignment vertical="center"/>
      <protection hidden="1"/>
    </xf>
    <xf numFmtId="49" fontId="0" fillId="35" borderId="0" xfId="0" applyNumberFormat="1" applyFill="1" applyAlignment="1" applyProtection="1">
      <alignment vertical="center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horizontal="left" vertical="center"/>
      <protection hidden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35" borderId="0" xfId="0" applyNumberFormat="1" applyFill="1" applyAlignment="1" applyProtection="1">
      <alignment vertical="center"/>
      <protection hidden="1"/>
    </xf>
    <xf numFmtId="49" fontId="0" fillId="36" borderId="0" xfId="0" applyNumberFormat="1" applyFill="1" applyAlignment="1" applyProtection="1">
      <alignment vertical="center"/>
      <protection hidden="1"/>
    </xf>
    <xf numFmtId="0" fontId="0" fillId="36" borderId="0" xfId="0" applyNumberFormat="1" applyFill="1" applyAlignment="1" applyProtection="1">
      <alignment vertical="center"/>
      <protection hidden="1"/>
    </xf>
    <xf numFmtId="49" fontId="0" fillId="37" borderId="0" xfId="0" applyNumberFormat="1" applyFill="1" applyAlignment="1" applyProtection="1">
      <alignment vertical="center"/>
      <protection hidden="1"/>
    </xf>
    <xf numFmtId="0" fontId="0" fillId="37" borderId="0" xfId="0" applyNumberFormat="1" applyFill="1" applyAlignment="1" applyProtection="1">
      <alignment vertical="center"/>
      <protection hidden="1"/>
    </xf>
    <xf numFmtId="49" fontId="0" fillId="38" borderId="0" xfId="0" applyNumberFormat="1" applyFill="1" applyAlignment="1" applyProtection="1">
      <alignment vertical="center"/>
      <protection hidden="1"/>
    </xf>
    <xf numFmtId="0" fontId="0" fillId="38" borderId="0" xfId="0" applyNumberFormat="1" applyFill="1" applyAlignment="1" applyProtection="1">
      <alignment vertical="center"/>
      <protection hidden="1"/>
    </xf>
    <xf numFmtId="0" fontId="0" fillId="33" borderId="0" xfId="0" applyFill="1" applyAlignment="1">
      <alignment vertical="center"/>
    </xf>
    <xf numFmtId="0" fontId="4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49" fontId="0" fillId="33" borderId="0" xfId="0" applyNumberFormat="1" applyFill="1" applyAlignment="1" applyProtection="1">
      <alignment horizontal="left" vertical="center"/>
      <protection hidden="1"/>
    </xf>
    <xf numFmtId="1" fontId="0" fillId="33" borderId="0" xfId="0" applyNumberFormat="1" applyFill="1" applyAlignment="1" applyProtection="1">
      <alignment horizontal="left" vertical="center"/>
      <protection hidden="1"/>
    </xf>
    <xf numFmtId="0" fontId="0" fillId="0" borderId="0" xfId="0" applyFill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18" xfId="0" applyBorder="1" applyAlignment="1">
      <alignment horizontal="left" vertical="center" indent="1"/>
    </xf>
    <xf numFmtId="49" fontId="0" fillId="0" borderId="18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17" xfId="0" applyFont="1" applyBorder="1" applyAlignment="1">
      <alignment/>
    </xf>
    <xf numFmtId="0" fontId="7" fillId="0" borderId="13" xfId="0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8" borderId="13" xfId="0" applyNumberFormat="1" applyFont="1" applyFill="1" applyBorder="1" applyAlignment="1" applyProtection="1">
      <alignment horizontal="left" vertical="center"/>
      <protection locked="0"/>
    </xf>
    <xf numFmtId="49" fontId="0" fillId="38" borderId="13" xfId="0" applyNumberFormat="1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49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33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/>
    </xf>
    <xf numFmtId="49" fontId="11" fillId="38" borderId="13" xfId="53" applyNumberFormat="1" applyFill="1" applyBorder="1" applyAlignment="1" applyProtection="1">
      <alignment horizontal="left" vertical="center"/>
      <protection locked="0"/>
    </xf>
    <xf numFmtId="14" fontId="1" fillId="33" borderId="14" xfId="0" applyNumberFormat="1" applyFont="1" applyFill="1" applyBorder="1" applyAlignment="1" applyProtection="1">
      <alignment horizontal="left" vertical="center"/>
      <protection locked="0"/>
    </xf>
    <xf numFmtId="1" fontId="7" fillId="33" borderId="14" xfId="0" applyNumberFormat="1" applyFont="1" applyFill="1" applyBorder="1" applyAlignment="1" applyProtection="1">
      <alignment horizontal="center" vertical="center"/>
      <protection locked="0"/>
    </xf>
    <xf numFmtId="1" fontId="7" fillId="33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4.png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2105025</xdr:colOff>
      <xdr:row>0</xdr:row>
      <xdr:rowOff>352425</xdr:rowOff>
    </xdr:to>
    <xdr:pic>
      <xdr:nvPicPr>
        <xdr:cNvPr id="1" name="MCX_CorrectParame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047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2114550</xdr:colOff>
      <xdr:row>0</xdr:row>
      <xdr:rowOff>352425</xdr:rowOff>
    </xdr:to>
    <xdr:pic>
      <xdr:nvPicPr>
        <xdr:cNvPr id="2" name="MCX_SavePara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1</xdr:row>
      <xdr:rowOff>19050</xdr:rowOff>
    </xdr:from>
    <xdr:to>
      <xdr:col>0</xdr:col>
      <xdr:colOff>1514475</xdr:colOff>
      <xdr:row>1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095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2143125</xdr:colOff>
      <xdr:row>0</xdr:row>
      <xdr:rowOff>47625</xdr:rowOff>
    </xdr:from>
    <xdr:to>
      <xdr:col>4</xdr:col>
      <xdr:colOff>228600</xdr:colOff>
      <xdr:row>0</xdr:row>
      <xdr:rowOff>342900</xdr:rowOff>
    </xdr:to>
    <xdr:pic>
      <xdr:nvPicPr>
        <xdr:cNvPr id="4" name="MCX_Create_CSV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47625"/>
          <a:ext cx="24288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285750</xdr:colOff>
      <xdr:row>0</xdr:row>
      <xdr:rowOff>47625</xdr:rowOff>
    </xdr:from>
    <xdr:to>
      <xdr:col>6</xdr:col>
      <xdr:colOff>409575</xdr:colOff>
      <xdr:row>0</xdr:row>
      <xdr:rowOff>342900</xdr:rowOff>
    </xdr:to>
    <xdr:pic>
      <xdr:nvPicPr>
        <xdr:cNvPr id="5" name="Hel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629150" y="47625"/>
          <a:ext cx="1000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elpSheet"/>
  <dimension ref="A1:A1"/>
  <sheetViews>
    <sheetView zoomScalePageLayoutView="0" workbookViewId="0" topLeftCell="A1">
      <selection activeCell="D5" sqref="D5"/>
    </sheetView>
  </sheetViews>
  <sheetFormatPr defaultColWidth="11.421875" defaultRowHeight="12.75"/>
  <sheetData/>
  <sheetProtection selectLockedCells="1" selectUnlockedCells="1"/>
  <printOptions/>
  <pageMargins left="0.75" right="0.75" top="1" bottom="1" header="0.4921259845" footer="0.4921259845"/>
  <pageSetup horizontalDpi="300" verticalDpi="300" orientation="portrait" paperSize="9" r:id="rId3"/>
  <legacyDrawing r:id="rId2"/>
  <oleObjects>
    <oleObject progId="Acrobat Document" dvAspect="DVASPECT_ICON" shapeId="17447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MCX91X_"/>
  <dimension ref="A1:M134"/>
  <sheetViews>
    <sheetView showGridLines="0" showRowColHeaders="0" tabSelected="1" zoomScalePageLayoutView="0" workbookViewId="0" topLeftCell="A1">
      <pane ySplit="1" topLeftCell="A52" activePane="bottomLeft" state="frozen"/>
      <selection pane="topLeft" activeCell="A1" sqref="A1"/>
      <selection pane="bottomLeft" activeCell="D54" sqref="D54:G54"/>
    </sheetView>
  </sheetViews>
  <sheetFormatPr defaultColWidth="0" defaultRowHeight="12.75" zeroHeight="1"/>
  <cols>
    <col min="1" max="1" width="39.140625" style="1" bestFit="1" customWidth="1"/>
    <col min="2" max="2" width="9.140625" style="3" bestFit="1" customWidth="1"/>
    <col min="3" max="3" width="10.28125" style="2" bestFit="1" customWidth="1"/>
    <col min="4" max="6" width="6.57421875" style="6" customWidth="1"/>
    <col min="7" max="7" width="6.57421875" style="7" customWidth="1"/>
    <col min="8" max="8" width="4.57421875" style="2" bestFit="1" customWidth="1"/>
    <col min="9" max="9" width="9.140625" style="1" hidden="1" customWidth="1"/>
    <col min="10" max="10" width="50.57421875" style="46" hidden="1" customWidth="1"/>
    <col min="11" max="11" width="33.7109375" style="45" hidden="1" customWidth="1"/>
    <col min="12" max="16384" width="9.140625" style="1" hidden="1" customWidth="1"/>
  </cols>
  <sheetData>
    <row r="1" spans="2:11" s="84" customFormat="1" ht="30.75" customHeight="1">
      <c r="B1" s="85"/>
      <c r="C1" s="86"/>
      <c r="D1" s="87"/>
      <c r="E1" s="87"/>
      <c r="F1" s="87"/>
      <c r="G1" s="88"/>
      <c r="H1" s="86"/>
      <c r="J1" s="46"/>
      <c r="K1" s="45"/>
    </row>
    <row r="2" spans="1:11" ht="27.75" customHeight="1">
      <c r="A2" s="29"/>
      <c r="C2" s="3"/>
      <c r="D2" s="30"/>
      <c r="E2" s="30"/>
      <c r="F2" s="30"/>
      <c r="G2" s="31"/>
      <c r="H2" s="32" t="s">
        <v>123</v>
      </c>
      <c r="I2" s="2"/>
      <c r="J2" s="51" t="s">
        <v>278</v>
      </c>
      <c r="K2" s="48" t="str">
        <f>ToolVersion</f>
        <v>1.0</v>
      </c>
    </row>
    <row r="3" spans="1:11" ht="12.75">
      <c r="A3" s="29"/>
      <c r="C3" s="3"/>
      <c r="D3" s="30"/>
      <c r="E3" s="30"/>
      <c r="F3" s="30"/>
      <c r="G3" s="56" t="s">
        <v>271</v>
      </c>
      <c r="H3" s="57" t="s">
        <v>216</v>
      </c>
      <c r="J3" s="51" t="s">
        <v>279</v>
      </c>
      <c r="K3" s="48"/>
    </row>
    <row r="4" spans="1:11" ht="12.75">
      <c r="A4" s="29"/>
      <c r="C4" s="3"/>
      <c r="D4" s="30"/>
      <c r="E4" s="30"/>
      <c r="F4" s="30"/>
      <c r="G4" s="56" t="s">
        <v>273</v>
      </c>
      <c r="H4" s="3" t="s">
        <v>272</v>
      </c>
      <c r="J4" s="51" t="s">
        <v>274</v>
      </c>
      <c r="K4" s="48" t="str">
        <f>ProtRevNo</f>
        <v>0</v>
      </c>
    </row>
    <row r="5" spans="1:11" ht="20.25" customHeight="1" thickBot="1">
      <c r="A5" s="11" t="s">
        <v>104</v>
      </c>
      <c r="B5" s="12"/>
      <c r="C5" s="13"/>
      <c r="D5" s="14"/>
      <c r="E5" s="14"/>
      <c r="F5" s="14"/>
      <c r="G5" s="15"/>
      <c r="H5" s="13"/>
      <c r="J5" s="51" t="s">
        <v>275</v>
      </c>
      <c r="K5" s="48"/>
    </row>
    <row r="6" spans="1:11" ht="15.75" customHeight="1">
      <c r="A6" s="22" t="s">
        <v>215</v>
      </c>
      <c r="B6" s="103"/>
      <c r="C6" s="103"/>
      <c r="D6" s="103"/>
      <c r="E6" s="103"/>
      <c r="F6" s="103"/>
      <c r="G6" s="103"/>
      <c r="H6" s="24"/>
      <c r="J6" s="51" t="s">
        <v>276</v>
      </c>
      <c r="K6" s="73"/>
    </row>
    <row r="7" spans="1:11" ht="15.75" customHeight="1">
      <c r="A7" s="19" t="s">
        <v>101</v>
      </c>
      <c r="B7" s="91"/>
      <c r="C7" s="91"/>
      <c r="D7" s="91"/>
      <c r="E7" s="91"/>
      <c r="F7" s="91"/>
      <c r="G7" s="91"/>
      <c r="H7" s="21"/>
      <c r="J7" s="51" t="s">
        <v>277</v>
      </c>
      <c r="K7" s="73"/>
    </row>
    <row r="8" spans="1:11" ht="15.75" customHeight="1">
      <c r="A8" s="19" t="s">
        <v>102</v>
      </c>
      <c r="B8" s="91"/>
      <c r="C8" s="91"/>
      <c r="D8" s="91"/>
      <c r="E8" s="91"/>
      <c r="F8" s="91"/>
      <c r="G8" s="91"/>
      <c r="H8" s="21"/>
      <c r="I8" s="65" t="b">
        <f>BayEntryValidation(Bay)</f>
        <v>0</v>
      </c>
      <c r="J8" s="51" t="s">
        <v>280</v>
      </c>
      <c r="K8" s="48"/>
    </row>
    <row r="9" spans="1:11" ht="15.75" customHeight="1">
      <c r="A9" s="19" t="s">
        <v>217</v>
      </c>
      <c r="B9" s="92"/>
      <c r="C9" s="93"/>
      <c r="D9" s="93"/>
      <c r="E9" s="93"/>
      <c r="F9" s="93"/>
      <c r="G9" s="93"/>
      <c r="H9" s="21"/>
      <c r="J9" s="51" t="s">
        <v>281</v>
      </c>
      <c r="K9" s="73"/>
    </row>
    <row r="10" spans="1:11" ht="20.25" customHeight="1" thickBot="1">
      <c r="A10" s="104" t="s">
        <v>103</v>
      </c>
      <c r="B10" s="104"/>
      <c r="C10" s="104"/>
      <c r="D10" s="104"/>
      <c r="E10" s="104"/>
      <c r="F10" s="104"/>
      <c r="G10" s="104"/>
      <c r="H10" s="104"/>
      <c r="J10" s="44" t="s">
        <v>215</v>
      </c>
      <c r="K10" s="48">
        <f>CSV_String(CustomerName)</f>
      </c>
    </row>
    <row r="11" spans="1:11" ht="15.75" customHeight="1">
      <c r="A11" s="22" t="s">
        <v>105</v>
      </c>
      <c r="B11" s="106"/>
      <c r="C11" s="106"/>
      <c r="D11" s="106"/>
      <c r="E11" s="106"/>
      <c r="F11" s="106"/>
      <c r="G11" s="106"/>
      <c r="H11" s="24"/>
      <c r="J11" s="44" t="s">
        <v>101</v>
      </c>
      <c r="K11" s="48">
        <f>CSV_String(Substation)</f>
      </c>
    </row>
    <row r="12" spans="1:11" ht="15.75" customHeight="1">
      <c r="A12" s="19" t="s">
        <v>106</v>
      </c>
      <c r="B12" s="91"/>
      <c r="C12" s="91"/>
      <c r="D12" s="91"/>
      <c r="E12" s="91"/>
      <c r="F12" s="91"/>
      <c r="G12" s="91"/>
      <c r="H12" s="21"/>
      <c r="J12" s="44" t="s">
        <v>102</v>
      </c>
      <c r="K12" s="48">
        <f>CSV_String(Bay)</f>
      </c>
    </row>
    <row r="13" spans="1:11" ht="15.75" customHeight="1">
      <c r="A13" s="19" t="s">
        <v>107</v>
      </c>
      <c r="B13" s="91"/>
      <c r="C13" s="91"/>
      <c r="D13" s="91"/>
      <c r="E13" s="91"/>
      <c r="F13" s="91"/>
      <c r="G13" s="91"/>
      <c r="H13" s="21"/>
      <c r="J13" s="44" t="s">
        <v>217</v>
      </c>
      <c r="K13" s="48">
        <f>CSV_String(ABB_OrderNumber)</f>
      </c>
    </row>
    <row r="14" spans="1:11" ht="15.75" customHeight="1">
      <c r="A14" s="19" t="s">
        <v>108</v>
      </c>
      <c r="B14" s="92"/>
      <c r="C14" s="93"/>
      <c r="D14" s="93"/>
      <c r="E14" s="93"/>
      <c r="F14" s="93"/>
      <c r="G14" s="93"/>
      <c r="H14" s="21"/>
      <c r="J14" s="46" t="s">
        <v>174</v>
      </c>
      <c r="K14" s="47">
        <f>CSV_Date(CollectionDate)</f>
      </c>
    </row>
    <row r="15" spans="1:11" ht="15.75" customHeight="1">
      <c r="A15" s="19" t="s">
        <v>110</v>
      </c>
      <c r="B15" s="92"/>
      <c r="C15" s="93"/>
      <c r="D15" s="93"/>
      <c r="E15" s="93"/>
      <c r="F15" s="93"/>
      <c r="G15" s="93"/>
      <c r="H15" s="21"/>
      <c r="J15" s="46" t="s">
        <v>106</v>
      </c>
      <c r="K15" s="48">
        <f>CSV_String(CollectedBy)</f>
      </c>
    </row>
    <row r="16" spans="1:11" ht="15.75" customHeight="1">
      <c r="A16" s="19" t="s">
        <v>109</v>
      </c>
      <c r="B16" s="105"/>
      <c r="C16" s="93"/>
      <c r="D16" s="93"/>
      <c r="E16" s="93"/>
      <c r="F16" s="93"/>
      <c r="G16" s="93"/>
      <c r="H16" s="21"/>
      <c r="J16" s="46" t="s">
        <v>178</v>
      </c>
      <c r="K16" s="48">
        <f>CSV_String(CollectedCompany)</f>
      </c>
    </row>
    <row r="17" spans="1:11" ht="20.25" customHeight="1" thickBot="1">
      <c r="A17" s="104" t="s">
        <v>268</v>
      </c>
      <c r="B17" s="104"/>
      <c r="C17" s="104"/>
      <c r="D17" s="104"/>
      <c r="E17" s="104"/>
      <c r="F17" s="104"/>
      <c r="G17" s="104"/>
      <c r="H17" s="104"/>
      <c r="J17" s="46" t="s">
        <v>177</v>
      </c>
      <c r="K17" s="48">
        <f>CSV_String(CollectedDepartment)</f>
      </c>
    </row>
    <row r="18" spans="1:11" ht="15.75" customHeight="1">
      <c r="A18" s="16" t="s">
        <v>6</v>
      </c>
      <c r="B18" s="17"/>
      <c r="C18" s="18"/>
      <c r="D18" s="99" t="str">
        <f>GetTypeDesignation(D20,D21,D22,D23)</f>
        <v>MCX91X - X - X - X</v>
      </c>
      <c r="E18" s="99"/>
      <c r="F18" s="99"/>
      <c r="G18" s="99"/>
      <c r="H18" s="18"/>
      <c r="J18" s="46" t="s">
        <v>175</v>
      </c>
      <c r="K18" s="48">
        <f>CSV_String(CollectedPhoneNo)</f>
      </c>
    </row>
    <row r="19" spans="1:11" ht="15.75" customHeight="1">
      <c r="A19" s="9" t="s">
        <v>265</v>
      </c>
      <c r="B19" s="92"/>
      <c r="C19" s="93"/>
      <c r="D19" s="93"/>
      <c r="E19" s="93"/>
      <c r="F19" s="93"/>
      <c r="G19" s="93"/>
      <c r="H19" s="10"/>
      <c r="J19" s="46" t="s">
        <v>176</v>
      </c>
      <c r="K19" s="48">
        <f>CSV_String(CollectedEmail)</f>
      </c>
    </row>
    <row r="20" spans="1:11" ht="15.75" customHeight="1">
      <c r="A20" s="19" t="s">
        <v>0</v>
      </c>
      <c r="B20" s="20"/>
      <c r="C20" s="21"/>
      <c r="D20" s="98"/>
      <c r="E20" s="98"/>
      <c r="F20" s="98"/>
      <c r="G20" s="98"/>
      <c r="H20" s="21"/>
      <c r="J20" s="46" t="s">
        <v>6</v>
      </c>
      <c r="K20" s="48" t="str">
        <f>CSV_String(RelayDesignation)</f>
        <v>MCX91X - X - X - X</v>
      </c>
    </row>
    <row r="21" spans="1:11" ht="15.75" customHeight="1">
      <c r="A21" s="19" t="s">
        <v>2</v>
      </c>
      <c r="B21" s="20"/>
      <c r="C21" s="21" t="s">
        <v>7</v>
      </c>
      <c r="D21" s="97"/>
      <c r="E21" s="97"/>
      <c r="F21" s="97"/>
      <c r="G21" s="97"/>
      <c r="H21" s="21" t="s">
        <v>1</v>
      </c>
      <c r="J21" s="44" t="s">
        <v>265</v>
      </c>
      <c r="K21" s="48">
        <f>CSV_String(RelaySerialNumber)</f>
      </c>
    </row>
    <row r="22" spans="1:11" ht="15.75" customHeight="1">
      <c r="A22" s="19" t="s">
        <v>3</v>
      </c>
      <c r="B22" s="20"/>
      <c r="C22" s="21"/>
      <c r="D22" s="97"/>
      <c r="E22" s="97"/>
      <c r="F22" s="97"/>
      <c r="G22" s="97"/>
      <c r="H22" s="21" t="s">
        <v>5</v>
      </c>
      <c r="J22" s="46" t="s">
        <v>0</v>
      </c>
      <c r="K22" s="48">
        <f>CSV_String(RelayType)</f>
      </c>
    </row>
    <row r="23" spans="1:11" ht="15.75" customHeight="1">
      <c r="A23" s="19" t="s">
        <v>4</v>
      </c>
      <c r="B23" s="20"/>
      <c r="C23" s="21"/>
      <c r="D23" s="97"/>
      <c r="E23" s="97"/>
      <c r="F23" s="97"/>
      <c r="G23" s="97"/>
      <c r="H23" s="21"/>
      <c r="J23" s="46" t="s">
        <v>2</v>
      </c>
      <c r="K23" s="48" t="str">
        <f>CSV_Numeric(RelayRatedCurrent)</f>
        <v>0</v>
      </c>
    </row>
    <row r="24" spans="1:11" ht="20.25" customHeight="1" thickBot="1">
      <c r="A24" s="89" t="s">
        <v>267</v>
      </c>
      <c r="B24" s="89"/>
      <c r="C24" s="89"/>
      <c r="D24" s="89"/>
      <c r="E24" s="89"/>
      <c r="F24" s="89"/>
      <c r="G24" s="89"/>
      <c r="H24" s="89"/>
      <c r="J24" s="46" t="s">
        <v>3</v>
      </c>
      <c r="K24" s="48" t="str">
        <f>CSV_Numeric(RelayRatedFrequency)</f>
        <v>0</v>
      </c>
    </row>
    <row r="25" spans="1:11" ht="15.75" customHeight="1">
      <c r="A25" s="22" t="s">
        <v>83</v>
      </c>
      <c r="B25" s="23"/>
      <c r="C25" s="24"/>
      <c r="D25" s="94"/>
      <c r="E25" s="94"/>
      <c r="F25" s="94"/>
      <c r="G25" s="94"/>
      <c r="H25" s="24" t="s">
        <v>1</v>
      </c>
      <c r="J25" s="46" t="s">
        <v>4</v>
      </c>
      <c r="K25" s="48">
        <f>CSV_String(RelaySupplyVoltage)</f>
      </c>
    </row>
    <row r="26" spans="1:11" ht="15.75" customHeight="1">
      <c r="A26" s="19" t="s">
        <v>8</v>
      </c>
      <c r="B26" s="20"/>
      <c r="C26" s="21" t="s">
        <v>9</v>
      </c>
      <c r="D26" s="90" t="str">
        <f>IF(ISBLANK(D21),"Relay rated current missing",CTcurrent/RelayRatedCurrent)</f>
        <v>Relay rated current missing</v>
      </c>
      <c r="E26" s="90"/>
      <c r="F26" s="90"/>
      <c r="G26" s="90"/>
      <c r="H26" s="21"/>
      <c r="J26" s="46" t="s">
        <v>83</v>
      </c>
      <c r="K26" s="48" t="str">
        <f>CSV_Numeric(CTcurrent)</f>
        <v>0</v>
      </c>
    </row>
    <row r="27" spans="1:11" ht="20.25" customHeight="1" thickBot="1">
      <c r="A27" s="66" t="s">
        <v>266</v>
      </c>
      <c r="B27" s="66"/>
      <c r="C27" s="66"/>
      <c r="D27" s="66"/>
      <c r="E27" s="66"/>
      <c r="F27" s="66"/>
      <c r="G27" s="66"/>
      <c r="H27" s="66"/>
      <c r="J27" s="46" t="s">
        <v>8</v>
      </c>
      <c r="K27" s="48" t="str">
        <f>CSV_Numeric(CTratio)</f>
        <v>Relay rated current missing</v>
      </c>
    </row>
    <row r="28" spans="1:11" ht="15.75" customHeight="1">
      <c r="A28" s="22" t="s">
        <v>284</v>
      </c>
      <c r="B28" s="23"/>
      <c r="C28" s="24"/>
      <c r="D28" s="94"/>
      <c r="E28" s="94"/>
      <c r="F28" s="94"/>
      <c r="G28" s="94"/>
      <c r="H28" s="24"/>
      <c r="J28" s="46" t="s">
        <v>122</v>
      </c>
      <c r="K28" s="48">
        <f>CSV_String(IoCTpresent)</f>
      </c>
    </row>
    <row r="29" spans="1:11" ht="15.75" customHeight="1">
      <c r="A29" s="16" t="s">
        <v>82</v>
      </c>
      <c r="B29" s="17"/>
      <c r="C29" s="18"/>
      <c r="D29" s="97"/>
      <c r="E29" s="97"/>
      <c r="F29" s="97"/>
      <c r="G29" s="97"/>
      <c r="H29" s="18" t="s">
        <v>1</v>
      </c>
      <c r="I29" s="1" t="b">
        <f>IF(OR(D28="no"),TRUE,AND(NOT(ISBLANK(D29)),AND(D29&gt;=1,D29&lt;=6000,TRUNC(MOD(TRUNC(D29*1,10),1),10)=0)))</f>
        <v>0</v>
      </c>
      <c r="J29" s="46" t="s">
        <v>82</v>
      </c>
      <c r="K29" s="48" t="str">
        <f>CSV_Numeric(IoCTcurrent)</f>
        <v>0</v>
      </c>
    </row>
    <row r="30" spans="1:11" ht="15.75" customHeight="1">
      <c r="A30" s="19" t="s">
        <v>10</v>
      </c>
      <c r="B30" s="20"/>
      <c r="C30" s="21" t="s">
        <v>121</v>
      </c>
      <c r="D30" s="90">
        <f>IF(OR(ISBLANK(IoCTpresent),IoCTpresent="no"),"",IF(ISBLANK(Mode_010),"Io C.t. ratio missing",IoCTcurrent/Mode_010))</f>
      </c>
      <c r="E30" s="90"/>
      <c r="F30" s="90"/>
      <c r="G30" s="90"/>
      <c r="H30" s="21"/>
      <c r="J30" s="46" t="s">
        <v>10</v>
      </c>
      <c r="K30" s="48" t="str">
        <f>CSV_Numeric(IoCTratio)</f>
        <v>0</v>
      </c>
    </row>
    <row r="31" spans="1:11" ht="20.25" customHeight="1" thickBot="1">
      <c r="A31" s="89" t="s">
        <v>11</v>
      </c>
      <c r="B31" s="89"/>
      <c r="C31" s="89"/>
      <c r="D31" s="89"/>
      <c r="E31" s="89"/>
      <c r="F31" s="89"/>
      <c r="G31" s="89"/>
      <c r="H31" s="89"/>
      <c r="J31" s="46" t="s">
        <v>180</v>
      </c>
      <c r="K31" s="48" t="str">
        <f>CSV_Numeric(Mode_000)</f>
        <v>0</v>
      </c>
    </row>
    <row r="32" spans="1:11" ht="15.75" customHeight="1">
      <c r="A32" s="22" t="s">
        <v>12</v>
      </c>
      <c r="B32" s="23" t="s">
        <v>124</v>
      </c>
      <c r="C32" s="24" t="s">
        <v>13</v>
      </c>
      <c r="D32" s="94"/>
      <c r="E32" s="94"/>
      <c r="F32" s="94"/>
      <c r="G32" s="94"/>
      <c r="H32" s="24" t="s">
        <v>7</v>
      </c>
      <c r="I32" s="75" t="b">
        <f>AND(NOT(ISBLANK(D32)),OR(AND(D32&gt;=0.3,D32&lt;=1.2,TRUNC(MOD(TRUNC(D32*100,10),1),10)=0)))</f>
        <v>0</v>
      </c>
      <c r="J32" s="46" t="s">
        <v>181</v>
      </c>
      <c r="K32" s="48" t="str">
        <f>CSV_Numeric(Mode_001)</f>
        <v>0</v>
      </c>
    </row>
    <row r="33" spans="1:11" ht="20.25" customHeight="1" thickBot="1">
      <c r="A33" s="66" t="s">
        <v>111</v>
      </c>
      <c r="B33" s="72"/>
      <c r="D33" s="67">
        <f>IF(OR(Mode_047=7,Mode_047=16),"is disabled by Mode 47 = "&amp;Mode_047,IF(AND(I86,SUM(Mode_101)=0),"is disabled by Mode 101 = 0000",IF(AND(NOT(ISBLANK(Mode_001)),Mode_001=0),"is disabled by Mode 1 = 0","")))</f>
      </c>
      <c r="E33" s="66"/>
      <c r="F33" s="66"/>
      <c r="G33" s="66"/>
      <c r="H33" s="66"/>
      <c r="I33" s="75"/>
      <c r="J33" s="46" t="s">
        <v>182</v>
      </c>
      <c r="K33" s="48" t="str">
        <f>CSV_Numeric(Mode_002)</f>
        <v>0</v>
      </c>
    </row>
    <row r="34" spans="1:11" ht="15.75" customHeight="1">
      <c r="A34" s="22" t="s">
        <v>15</v>
      </c>
      <c r="B34" s="77" t="s">
        <v>125</v>
      </c>
      <c r="C34" s="24" t="s">
        <v>36</v>
      </c>
      <c r="D34" s="94"/>
      <c r="E34" s="94"/>
      <c r="F34" s="94"/>
      <c r="G34" s="94"/>
      <c r="H34" s="24" t="s">
        <v>13</v>
      </c>
      <c r="I34" s="75" t="b">
        <f>OR(AND(ISBLANK(D34),OR(Mode_047=7,Mode_047=16,AND(I86,SUM(Mode_101)=0))),AND(NOT(ISBLANK(D34)),OR(D34=0,AND(D34&gt;=2,D34&lt;=20,TRUNC(MOD(TRUNC(D34*10,10),1),10)=0))))</f>
        <v>0</v>
      </c>
      <c r="J34" s="46" t="s">
        <v>185</v>
      </c>
      <c r="K34" s="48" t="str">
        <f>CSV_Numeric(Mode_003)</f>
        <v>0</v>
      </c>
    </row>
    <row r="35" spans="1:11" ht="15.75" customHeight="1">
      <c r="A35" s="19" t="s">
        <v>16</v>
      </c>
      <c r="B35" s="76" t="s">
        <v>126</v>
      </c>
      <c r="C35" s="21" t="s">
        <v>37</v>
      </c>
      <c r="D35" s="100"/>
      <c r="E35" s="100"/>
      <c r="F35" s="100"/>
      <c r="G35" s="100"/>
      <c r="H35" s="21" t="s">
        <v>14</v>
      </c>
      <c r="I35" s="75" t="b">
        <f>OR(AND(ISBLANK(Mode_002),OR(AND(I86,Mode_001=0),Mode_047=7,Mode_047=16,AND(NOT(ISBLANK(Mode_001)),Mode_001=0))),AND(NOT(ISBLANK(D35)),OR(D35=0,AND(D35&gt;=0,D35&lt;=9.99,TRUNC(MOD(TRUNC(D35*100,10),1),10)=0))))</f>
        <v>0</v>
      </c>
      <c r="J35" s="46" t="s">
        <v>186</v>
      </c>
      <c r="K35" s="48" t="str">
        <f>CSV_Numeric(Mode_004)</f>
        <v>0</v>
      </c>
    </row>
    <row r="36" spans="1:11" ht="20.25" customHeight="1" thickBot="1">
      <c r="A36" s="66" t="s">
        <v>112</v>
      </c>
      <c r="B36" s="72"/>
      <c r="C36" s="66"/>
      <c r="D36" s="67">
        <f>IF(OR(Mode_047=7,Mode_047=10,Mode_047=15,Mode_047=18),"is disabled by Mode 47 = "&amp;Mode_047,IF(AND(I87,SUM(Mode_103)=0),"is disabled by Mode 103 = 0000",IF(AND(NOT(ISBLANK(Mode_003)),Mode_003=0),"is disabled by Mode 3 = 0","")))</f>
      </c>
      <c r="E36" s="66"/>
      <c r="F36" s="66"/>
      <c r="G36" s="66"/>
      <c r="H36" s="66"/>
      <c r="I36" s="75"/>
      <c r="J36" s="46" t="s">
        <v>187</v>
      </c>
      <c r="K36" s="48" t="str">
        <f>CSV_Numeric(Mode_005)</f>
        <v>0</v>
      </c>
    </row>
    <row r="37" spans="1:11" ht="15.75" customHeight="1">
      <c r="A37" s="22" t="s">
        <v>17</v>
      </c>
      <c r="B37" s="77" t="s">
        <v>127</v>
      </c>
      <c r="C37" s="24" t="s">
        <v>80</v>
      </c>
      <c r="D37" s="95"/>
      <c r="E37" s="95"/>
      <c r="F37" s="95"/>
      <c r="G37" s="95"/>
      <c r="H37" s="24" t="s">
        <v>13</v>
      </c>
      <c r="I37" s="75" t="b">
        <f>OR(AND(ISBLANK(Mode_003),OR(Mode_047=7,Mode_047=10,Mode_047=15,Mode_047=18,AND(I87,SUM(Mode_103)=0))),AND(NOT(ISBLANK(D37)),OR(D37=0,AND(D37&gt;=0.8,D37&lt;=8,TRUNC(MOD(TRUNC(D37*10,10),1),10)=0))))</f>
        <v>0</v>
      </c>
      <c r="J37" s="46" t="s">
        <v>188</v>
      </c>
      <c r="K37" s="48" t="str">
        <f>CSV_Numeric(Mode_006)</f>
        <v>0</v>
      </c>
    </row>
    <row r="38" spans="1:11" ht="15.75" customHeight="1">
      <c r="A38" s="19" t="s">
        <v>18</v>
      </c>
      <c r="B38" s="76" t="s">
        <v>128</v>
      </c>
      <c r="C38" s="21" t="s">
        <v>87</v>
      </c>
      <c r="D38" s="97"/>
      <c r="E38" s="97"/>
      <c r="F38" s="97"/>
      <c r="G38" s="97"/>
      <c r="H38" s="21" t="s">
        <v>14</v>
      </c>
      <c r="I38" s="75" t="b">
        <f>OR(AND(ISBLANK(Mode_004),OR(AND(NOT(ISBLANK(Mode_003)),Mode_003=0),Mode_047=7,Mode_047=10,Mode_047=15,Mode_047=18,AND(I87,SUM(Mode_103)=0))),AND(NOT(ISBLANK(Mode_004)),OR(AND(Mode_004&gt;=0.1,Mode_004&lt;=99.9,TRUNC(MOD(TRUNC(Mode_004*10,10),1),10)=0),AND(Mode_004&gt;=100,Mode_004&lt;=200,TRUNC(MOD(TRUNC(Mode_004*1,10),1),10)=0))))</f>
        <v>0</v>
      </c>
      <c r="J38" s="46" t="s">
        <v>190</v>
      </c>
      <c r="K38" s="48" t="str">
        <f>CSV_Numeric(Mode_007)</f>
        <v>0</v>
      </c>
    </row>
    <row r="39" spans="1:11" ht="20.25" customHeight="1" thickBot="1">
      <c r="A39" s="66" t="s">
        <v>113</v>
      </c>
      <c r="B39" s="72"/>
      <c r="C39" s="66"/>
      <c r="D39" s="67">
        <f>IF(OR(AND(Mode_047&gt;=8,Mode_047&lt;=10),AND(Mode_047&gt;=12,Mode_047&lt;=14),Mode_047&gt;=17),"is disabled by Mode 47 = "&amp;Mode_047,IF(AND(I88,SUM(Mode_105)=0),"is disabled by Mode 105 = 0000",IF(AND(NOT(ISBLANK(Mode_005)),Mode_005=0),"is disabled by Mode 5 = 0","")))</f>
      </c>
      <c r="E39" s="66"/>
      <c r="F39" s="66"/>
      <c r="G39" s="66"/>
      <c r="H39" s="66"/>
      <c r="I39" s="75"/>
      <c r="J39" s="46" t="s">
        <v>191</v>
      </c>
      <c r="K39" s="48" t="str">
        <f>CSV_Numeric(Mode_008)</f>
        <v>0</v>
      </c>
    </row>
    <row r="40" spans="1:11" ht="15.75" customHeight="1">
      <c r="A40" s="22" t="s">
        <v>20</v>
      </c>
      <c r="B40" s="77" t="s">
        <v>129</v>
      </c>
      <c r="C40" s="24" t="s">
        <v>19</v>
      </c>
      <c r="D40" s="95"/>
      <c r="E40" s="95"/>
      <c r="F40" s="95"/>
      <c r="G40" s="95"/>
      <c r="H40" s="24" t="s">
        <v>13</v>
      </c>
      <c r="I40" s="75" t="b">
        <f>OR(AND(ISBLANK(Mode_005),OR(AND(Mode_047&gt;=8,Mode_047&lt;=10),AND(Mode_047&gt;=12,Mode_047&lt;=14),Mode_047&gt;=17,AND(I88,SUM(Mode_105)=0))),AND(NOT(ISBLANK(D40)),OR(D40=0,AND(D40&gt;=0.1,D40&lt;=0.5,TRUNC(MOD(TRUNC(D40*100,10),1),10)=0))))</f>
        <v>0</v>
      </c>
      <c r="J40" s="46" t="s">
        <v>210</v>
      </c>
      <c r="K40" s="48" t="str">
        <f>CSV_Numeric(Mode_009)</f>
        <v>0</v>
      </c>
    </row>
    <row r="41" spans="1:11" ht="15.75" customHeight="1">
      <c r="A41" s="79" t="s">
        <v>21</v>
      </c>
      <c r="B41" s="80" t="s">
        <v>130</v>
      </c>
      <c r="C41" s="81" t="s">
        <v>22</v>
      </c>
      <c r="D41" s="96"/>
      <c r="E41" s="96"/>
      <c r="F41" s="96"/>
      <c r="G41" s="96"/>
      <c r="H41" s="81" t="s">
        <v>14</v>
      </c>
      <c r="I41" s="75" t="b">
        <f>OR(AND(ISBLANK(Mode_006),OR(AND(NOT(ISBLANK(Mode_005)),Mode_005=0),AND(Mode_047&gt;=8,Mode_047&lt;=10),AND(Mode_047&gt;=12,Mode_047&lt;=14),Mode_047&gt;=17,AND(I88,SUM(Mode_105)=0))),OR(AND(Mode_006&gt;=0.1,Mode_006&lt;=99.9,TRUNC(MOD(TRUNC(Mode_006*10,10),1),10)=0),AND(Mode_006&gt;=100,Mode_006&lt;=200,TRUNC(MOD(TRUNC(Mode_006*1,10),1),10)=0)))</f>
        <v>0</v>
      </c>
      <c r="J41" s="46" t="s">
        <v>192</v>
      </c>
      <c r="K41" s="48" t="str">
        <f>CSV_Numeric(Mode_010)</f>
        <v>0</v>
      </c>
    </row>
    <row r="42" spans="1:11" ht="20.25" customHeight="1" thickBot="1">
      <c r="A42" s="11" t="s">
        <v>269</v>
      </c>
      <c r="B42" s="82"/>
      <c r="C42" s="11"/>
      <c r="D42" s="83">
        <f>IF(OR(AND(Mode_047&gt;=8,Mode_047&lt;=10),AND(Mode_047&gt;=17,Mode_047&lt;=18)),"is disabled by Mode 47 = "&amp;Mode_047,IF(AND(I89,SUM(Mode_107)=0),"is disabled by Mode 107 = 0000",IF(AND(NOT(ISBLANK(Mode_007)),Mode_007=0),"is disabled by Mode 7 = 0","")))</f>
      </c>
      <c r="E42" s="11"/>
      <c r="F42" s="11"/>
      <c r="G42" s="11"/>
      <c r="H42" s="11"/>
      <c r="I42" s="75"/>
      <c r="J42" s="46" t="s">
        <v>193</v>
      </c>
      <c r="K42" s="48" t="str">
        <f>CSV_Numeric(Mode_011)</f>
        <v>0</v>
      </c>
    </row>
    <row r="43" spans="1:11" ht="15.75" customHeight="1">
      <c r="A43" s="22" t="s">
        <v>189</v>
      </c>
      <c r="B43" s="77" t="s">
        <v>131</v>
      </c>
      <c r="C43" s="24" t="s">
        <v>26</v>
      </c>
      <c r="D43" s="95"/>
      <c r="E43" s="95"/>
      <c r="F43" s="95"/>
      <c r="G43" s="95"/>
      <c r="H43" s="24" t="s">
        <v>13</v>
      </c>
      <c r="I43" s="75" t="b">
        <f>OR(AND(ISBLANK(Mode_007),OR(AND(Mode_047&gt;=8,Mode_047&lt;=10),AND(Mode_047&gt;=17,Mode_047&lt;=18),AND(I89,SUM(Mode_107)=0))),AND(NOT(ISBLANK(D43)),OR(D43=0,AND(D43&gt;=0.2,D43&lt;=1,TRUNC(MOD(TRUNC(D43*100,10),1),10)=0))))</f>
        <v>0</v>
      </c>
      <c r="J43" s="46" t="s">
        <v>194</v>
      </c>
      <c r="K43" s="48" t="str">
        <f>CSV_Numeric(Mode_012)</f>
        <v>0</v>
      </c>
    </row>
    <row r="44" spans="1:11" ht="15.75" customHeight="1">
      <c r="A44" s="19" t="s">
        <v>25</v>
      </c>
      <c r="B44" s="76" t="s">
        <v>132</v>
      </c>
      <c r="C44" s="21" t="s">
        <v>27</v>
      </c>
      <c r="D44" s="97"/>
      <c r="E44" s="97"/>
      <c r="F44" s="97"/>
      <c r="G44" s="97"/>
      <c r="H44" s="21" t="s">
        <v>14</v>
      </c>
      <c r="I44" s="75" t="b">
        <f>OR(AND(ISBLANK(Mode_008),OR(AND(NOT(ISBLANK(Mode_007)),Mode_007=0),AND(Mode_047&gt;=8,Mode_047&lt;=10),AND(Mode_047&gt;=17,Mode_047&lt;=18),AND(I89,SUM(Mode_107)=0))),AND(NOT(ISBLANK(Mode_008)),OR(AND(D44&gt;=0.01,D44&lt;=9.99,TRUNC(MOD(TRUNC(D44*100,10),1),10)=0),AND(D44&gt;=10,D44&lt;=99.9,TRUNC(MOD(TRUNC(D44*10,10),1),10)=0),D44=100)))</f>
        <v>0</v>
      </c>
      <c r="J44" s="46" t="s">
        <v>195</v>
      </c>
      <c r="K44" s="48" t="str">
        <f>CSV_Numeric(Mode_013)</f>
        <v>0</v>
      </c>
    </row>
    <row r="45" spans="1:11" ht="15.75" customHeight="1">
      <c r="A45" s="19" t="s">
        <v>211</v>
      </c>
      <c r="B45" s="76" t="s">
        <v>133</v>
      </c>
      <c r="C45" s="21"/>
      <c r="D45" s="97"/>
      <c r="E45" s="97"/>
      <c r="F45" s="97"/>
      <c r="G45" s="97"/>
      <c r="H45" s="21"/>
      <c r="I45" s="75" t="b">
        <f>OR(AND(ISBLANK(Mode_009),OR(AND(NOT(ISBLANK(Mode_007)),Mode_007=0),AND(Mode_047&gt;=8,Mode_047&lt;=10),AND(Mode_047&gt;=17,Mode_047&lt;=18),AND(I89,SUM(Mode_107)=0))),AND(NOT(ISBLANK(Mode_009)),OR(Mode_009=0,Mode_009=1)))</f>
        <v>0</v>
      </c>
      <c r="J45" s="46" t="s">
        <v>196</v>
      </c>
      <c r="K45" s="48" t="str">
        <f>CSV_Numeric(Mode_014)</f>
        <v>0</v>
      </c>
    </row>
    <row r="46" spans="1:11" ht="15.75" customHeight="1">
      <c r="A46" s="19" t="s">
        <v>23</v>
      </c>
      <c r="B46" s="76" t="s">
        <v>134</v>
      </c>
      <c r="C46" s="21" t="s">
        <v>28</v>
      </c>
      <c r="D46" s="97"/>
      <c r="E46" s="97"/>
      <c r="F46" s="97"/>
      <c r="G46" s="97"/>
      <c r="H46" s="21"/>
      <c r="I46" s="75" t="b">
        <f>OR(AND(ISBLANK(Mode_010),OR(AND(NOT(ISBLANK(Mode_007)),Mode_007=0),AND(Mode_047&gt;=8,Mode_047&lt;=10),AND(Mode_047&gt;=17,Mode_047&lt;=18),AND(I89,SUM(Mode_107)=0))),AND(NOT(ISBLANK(Mode_010)),OR(Mode_010=1,Mode_010=5,Mode_010=25)))</f>
        <v>0</v>
      </c>
      <c r="J46" s="46" t="s">
        <v>197</v>
      </c>
      <c r="K46" s="48" t="str">
        <f>CSV_Numeric(Mode_015)</f>
        <v>0</v>
      </c>
    </row>
    <row r="47" spans="1:11" ht="20.25" customHeight="1" thickBot="1">
      <c r="A47" s="66" t="s">
        <v>114</v>
      </c>
      <c r="B47" s="72"/>
      <c r="C47" s="66"/>
      <c r="D47" s="67">
        <f>IF(OR(AND(Mode_047&gt;=3,Mode_047&lt;=10),Mode_047&gt;=12),"is disabled by Mode 47 = "&amp;Mode_047,IF(AND(I90,SUM(Mode_111)=0),"is disabled by Mode 111 = 0000",IF(AND(NOT(ISBLANK(Mode_011)),Mode_011=0),"is disabled by Mode 11 = 0","")))</f>
      </c>
      <c r="E47" s="66"/>
      <c r="F47" s="66"/>
      <c r="G47" s="66"/>
      <c r="H47" s="66"/>
      <c r="I47" s="75"/>
      <c r="J47" s="46" t="s">
        <v>198</v>
      </c>
      <c r="K47" s="48" t="str">
        <f>CSV_Numeric(Mode_016)</f>
        <v>0</v>
      </c>
    </row>
    <row r="48" spans="1:11" ht="15.75" customHeight="1">
      <c r="A48" s="22" t="s">
        <v>48</v>
      </c>
      <c r="B48" s="77" t="s">
        <v>135</v>
      </c>
      <c r="C48" s="24" t="s">
        <v>29</v>
      </c>
      <c r="D48" s="95"/>
      <c r="E48" s="95"/>
      <c r="F48" s="95"/>
      <c r="G48" s="95"/>
      <c r="H48" s="24" t="s">
        <v>13</v>
      </c>
      <c r="I48" s="75" t="b">
        <f>OR(AND(ISBLANK(Mode_011),OR(AND(Mode_047&gt;=3,Mode_047&lt;=10),Mode_047&gt;=12,AND(I90,SUM(Mode_111)=0))),AND(NOT(ISBLANK(D48)),OR(D48=0,AND(D48&gt;=0.8,D48&lt;=8,TRUNC(MOD(TRUNC(D48*10,10),1),10)=0))))</f>
        <v>0</v>
      </c>
      <c r="J48" s="46" t="s">
        <v>282</v>
      </c>
      <c r="K48" s="48" t="str">
        <f>CSV_Numeric(MotorSstartUpTime)</f>
        <v>0</v>
      </c>
    </row>
    <row r="49" spans="1:11" ht="15.75" customHeight="1">
      <c r="A49" s="19" t="s">
        <v>49</v>
      </c>
      <c r="B49" s="76" t="s">
        <v>136</v>
      </c>
      <c r="C49" s="21" t="s">
        <v>33</v>
      </c>
      <c r="D49" s="97"/>
      <c r="E49" s="97"/>
      <c r="F49" s="97"/>
      <c r="G49" s="97"/>
      <c r="H49" s="21" t="s">
        <v>14</v>
      </c>
      <c r="I49" s="75" t="b">
        <f>OR(AND(ISBLANK(Mode_012),OR(AND(NOT(ISBLANK(Mode_011)),Mode_011=0),AND(Mode_047&gt;=3,Mode_047&lt;=10),Mode_047&gt;=12,AND(I90,SUM(Mode_111)=0))),AND(NOT(ISBLANK(Mode_012)),OR(AND(Mode_012&gt;=0.1,Mode_012&lt;=99.9,TRUNC(MOD(TRUNC(Mode_012*10,10),1),10)=0),AND(Mode_012&gt;=100,Mode_012&lt;=200,TRUNC(MOD(TRUNC(Mode_012*1,10),1),10)=0))))</f>
        <v>0</v>
      </c>
      <c r="J49" s="46" t="s">
        <v>199</v>
      </c>
      <c r="K49" s="48" t="str">
        <f>CSV_Numeric(Mode_017)</f>
        <v>0</v>
      </c>
    </row>
    <row r="50" spans="1:11" ht="20.25" customHeight="1" thickBot="1">
      <c r="A50" s="66" t="s">
        <v>179</v>
      </c>
      <c r="B50" s="72"/>
      <c r="C50" s="66"/>
      <c r="D50" s="67">
        <f>IF(OR(Mode_047=5,Mode_047=9,Mode_047&gt;=14),"is disabled by Mode 47 = "&amp;Mode_047,IF(AND(I91,SUM(Mode_113)=0),"is disabled by Mode 113 = 0000",IF(AND(NOT(ISBLANK(Mode_013)),Mode_013=0),"is disabled by Mode 13 = 0","")))</f>
      </c>
      <c r="E50" s="66"/>
      <c r="F50" s="66"/>
      <c r="G50" s="66"/>
      <c r="H50" s="66"/>
      <c r="I50" s="75"/>
      <c r="J50" s="46" t="s">
        <v>200</v>
      </c>
      <c r="K50" s="48" t="str">
        <f>CSV_Numeric(Mode_018)</f>
        <v>0</v>
      </c>
    </row>
    <row r="51" spans="1:11" ht="15.75" customHeight="1">
      <c r="A51" s="22" t="s">
        <v>84</v>
      </c>
      <c r="B51" s="77" t="s">
        <v>137</v>
      </c>
      <c r="C51" s="24" t="s">
        <v>30</v>
      </c>
      <c r="D51" s="95"/>
      <c r="E51" s="95"/>
      <c r="F51" s="95"/>
      <c r="G51" s="95"/>
      <c r="H51" s="24" t="s">
        <v>13</v>
      </c>
      <c r="I51" s="75" t="b">
        <f>OR(AND(ISBLANK(Mode_013),OR(Mode_047=5,Mode_047=9,Mode_047&gt;=14,AND(I91,SUM(Mode_113)=0))),AND(NOT(ISBLANK(D51)),OR(D51=0,AND(D51&gt;=0.8,D51&lt;=8,TRUNC(MOD(TRUNC(D51*10,10),1),10)=0))))</f>
        <v>0</v>
      </c>
      <c r="J51" s="46" t="s">
        <v>201</v>
      </c>
      <c r="K51" s="48" t="str">
        <f>CSV_Numeric(Mode_019)</f>
        <v>0</v>
      </c>
    </row>
    <row r="52" spans="1:11" ht="15.75" customHeight="1">
      <c r="A52" s="19" t="s">
        <v>85</v>
      </c>
      <c r="B52" s="76" t="s">
        <v>138</v>
      </c>
      <c r="C52" s="21" t="s">
        <v>31</v>
      </c>
      <c r="D52" s="97"/>
      <c r="E52" s="97"/>
      <c r="F52" s="97"/>
      <c r="G52" s="97"/>
      <c r="H52" s="21" t="s">
        <v>32</v>
      </c>
      <c r="I52" s="75" t="b">
        <f>OR(AND(ISBLANK(Mode_014),OR(AND(NOT(ISBLANK(Mode_013)),Mode_013=0),Mode_047=5,Mode_047=9,Mode_047&gt;=14,AND(I91,SUM(Mode_113)=0))),OR(AND(D52&gt;=1,D52&lt;=99.9,TRUNC(MOD(TRUNC(D52*10,10),1),10)=0),AND(D52&gt;=100,D52&lt;=9999,TRUNC(MOD(TRUNC(D52*1,10),1),10)=0)))</f>
        <v>0</v>
      </c>
      <c r="J52" s="49" t="str">
        <f>"Mode_20 Temperature rise "&amp;MCX_Unicod(916)&amp;MCX_Unicod(977)&amp;"3"</f>
        <v>Mode_20 Temperature rise Δϑ3</v>
      </c>
      <c r="K52" s="48" t="str">
        <f>CSV_Numeric(Mode_020)</f>
        <v>0</v>
      </c>
    </row>
    <row r="53" spans="1:11" ht="20.25" customHeight="1" thickBot="1">
      <c r="A53" s="66" t="s">
        <v>270</v>
      </c>
      <c r="B53" s="72"/>
      <c r="C53" s="66"/>
      <c r="D53" s="67">
        <f>IF(OR(AND(Mode_047&gt;=3,Mode_047&lt;=5),Mode_047&gt;=7),"is disabled by Mode 47 = "&amp;Mode_047,IF(AND(I92,SUM(Mode_115)=0),"is disabled by Mode 115 = 0000",IF(AND(NOT(ISBLANK(Mode_015)),Mode_015=0),"is disabled by Mode 15 = 0","")))</f>
      </c>
      <c r="E53" s="66"/>
      <c r="F53" s="66"/>
      <c r="G53" s="66"/>
      <c r="H53" s="66"/>
      <c r="I53" s="75"/>
      <c r="J53" s="46" t="s">
        <v>202</v>
      </c>
      <c r="K53" s="48" t="str">
        <f>CSV_Numeric(Mode_021)</f>
        <v>0</v>
      </c>
    </row>
    <row r="54" spans="1:11" ht="15.75" customHeight="1">
      <c r="A54" s="22" t="s">
        <v>67</v>
      </c>
      <c r="B54" s="77" t="s">
        <v>139</v>
      </c>
      <c r="C54" s="24" t="s">
        <v>66</v>
      </c>
      <c r="D54" s="95"/>
      <c r="E54" s="95"/>
      <c r="F54" s="95"/>
      <c r="G54" s="95"/>
      <c r="H54" s="24" t="s">
        <v>13</v>
      </c>
      <c r="I54" s="75" t="b">
        <f>OR(AND(ISBLANK(Mode_015),OR(AND(Mode_047&gt;=3,Mode_047&lt;=5),Mode_047&gt;=7,AND(I92,SUM(Mode_115)=0))),AND(NOT(ISBLANK(D54)),OR(D54=0,AND(D54&gt;=0.3,D54&lt;=3,TRUNC(MOD(TRUNC(D54*10,10),1),10)=0))))</f>
        <v>0</v>
      </c>
      <c r="J54" s="49" t="str">
        <f>"Mode_30 Temperature rise "&amp;MCX_Unicod(916)&amp;MCX_Unicod(977)&amp;"1"</f>
        <v>Mode_30 Temperature rise Δϑ1</v>
      </c>
      <c r="K54" s="48" t="str">
        <f>CSV_Numeric(Mode_030)</f>
        <v>0</v>
      </c>
    </row>
    <row r="55" spans="1:11" ht="15.75" customHeight="1">
      <c r="A55" s="19" t="s">
        <v>74</v>
      </c>
      <c r="B55" s="76" t="s">
        <v>140</v>
      </c>
      <c r="C55" s="21" t="s">
        <v>68</v>
      </c>
      <c r="D55" s="97"/>
      <c r="E55" s="97"/>
      <c r="F55" s="97"/>
      <c r="G55" s="97"/>
      <c r="H55" s="21" t="s">
        <v>14</v>
      </c>
      <c r="I55" s="75" t="b">
        <f>OR(AND(ISBLANK(Mode_016),OR(AND(NOT(ISBLANK(Mode_015)),Mode_015=0),AND(Mode_047&gt;=3,Mode_047&lt;=5),Mode_047&gt;=7,AND(I92,SUM(Mode_115)=0))),OR(AND(D55&gt;=0.1,D55&lt;=99.9,TRUNC(MOD(TRUNC(D55*10,10),1),10)=0),AND(D55&gt;=100,D55&lt;=200,TRUNC(MOD(TRUNC(D55*1,10),1),10)=0)))</f>
        <v>0</v>
      </c>
      <c r="J55" s="49" t="str">
        <f>"Mode_31 Temperature rise "&amp;MCX_Unicod(916)&amp;MCX_Unicod(977)&amp;"2"</f>
        <v>Mode_31 Temperature rise Δϑ2</v>
      </c>
      <c r="K55" s="48" t="str">
        <f>CSV_Numeric(Mode_031)</f>
        <v>0</v>
      </c>
    </row>
    <row r="56" spans="1:11" ht="20.25" customHeight="1" thickBot="1">
      <c r="A56" s="66" t="s">
        <v>115</v>
      </c>
      <c r="B56" s="72"/>
      <c r="C56" s="66"/>
      <c r="D56" s="68">
        <f>IF(OR(AND(Mode_047&gt;=4,Mode_047&lt;=5),Mode_047&gt;=7),"is disabled by Mode 47 = "&amp;Mode_047,IF(AND(I93,SUM(Mode_117)=0),"is disabled by Mode 117 = 0000",IF(AND(NOT(ISBLANK(Mode_017)),Mode_017=0,NOT(ISBLANK(Mode_018)),Mode_018=0),"is disabled by Mode 17 and 18 = 0","")))</f>
      </c>
      <c r="E56" s="66"/>
      <c r="F56" s="66"/>
      <c r="G56" s="66"/>
      <c r="H56" s="66"/>
      <c r="I56" s="75"/>
      <c r="J56" s="49" t="str">
        <f>"Mode_32 Reset for "&amp;MCX_Unicod(916)&amp;MCX_Unicod(977)&amp;"2"</f>
        <v>Mode_32 Reset for Δϑ2</v>
      </c>
      <c r="K56" s="48" t="str">
        <f>CSV_Numeric(Mode_032)</f>
        <v>0</v>
      </c>
    </row>
    <row r="57" spans="1:11" ht="15.75" customHeight="1">
      <c r="A57" s="25" t="s">
        <v>282</v>
      </c>
      <c r="B57" s="76"/>
      <c r="C57" s="21" t="s">
        <v>283</v>
      </c>
      <c r="D57" s="95"/>
      <c r="E57" s="95"/>
      <c r="F57" s="95"/>
      <c r="G57" s="95"/>
      <c r="H57" s="21" t="s">
        <v>14</v>
      </c>
      <c r="I57" s="75" t="b">
        <f>OR(AND(ISBLANK(D57),OR(AND(AND(NOT(ISBLANK(Mode_018)),Mode_018=0),AND(NOT(ISBLANK(Mode_017)),Mode_017=0)),AND(Mode_047&gt;=4,Mode_047&lt;=5),Mode_047&gt;=7,AND(I93,SUM(Mode_117)=0))),AND(NOT(ISBLANK(D57)),OR(AND(D57&gt;=1,D57&lt;=80,TRUNC(MOD(TRUNC(D57*1,10),1),10)=0))))</f>
        <v>0</v>
      </c>
      <c r="J57" s="49" t="s">
        <v>208</v>
      </c>
      <c r="K57" s="48" t="str">
        <f>CSV_Numeric(Mode_033)</f>
        <v>0</v>
      </c>
    </row>
    <row r="58" spans="1:11" ht="15.75" customHeight="1">
      <c r="A58" s="25" t="s">
        <v>52</v>
      </c>
      <c r="B58" s="76" t="s">
        <v>141</v>
      </c>
      <c r="C58" s="21" t="s">
        <v>50</v>
      </c>
      <c r="D58" s="100"/>
      <c r="E58" s="100"/>
      <c r="F58" s="100"/>
      <c r="G58" s="100"/>
      <c r="H58" s="21"/>
      <c r="I58" s="75" t="b">
        <f>OR(AND(ISBLANK(Mode_017),Mode_047&gt;=4,Mode_047&lt;=5),Mode_047&gt;=7,AND(I93,SUM(Mode_117)=0),AND(NOT(ISBLANK(D58)),OR(D58=0,AND(D58&gt;=1,D58&lt;=10,TRUNC(MOD(TRUNC(D58*1,10),1),10)=0))))</f>
        <v>0</v>
      </c>
      <c r="J58" s="49" t="s">
        <v>209</v>
      </c>
      <c r="K58" s="48" t="str">
        <f>CSV_Numeric(Mode_034)</f>
        <v>0</v>
      </c>
    </row>
    <row r="59" spans="1:11" ht="15.75" customHeight="1">
      <c r="A59" s="25" t="s">
        <v>53</v>
      </c>
      <c r="B59" s="76" t="s">
        <v>142</v>
      </c>
      <c r="C59" s="21" t="s">
        <v>51</v>
      </c>
      <c r="D59" s="100"/>
      <c r="E59" s="100"/>
      <c r="F59" s="100"/>
      <c r="G59" s="100"/>
      <c r="H59" s="21"/>
      <c r="I59" s="75" t="b">
        <f>OR(AND(Mode_047&gt;=4,Mode_047&lt;=5),Mode_047&gt;=7,AND(I93,SUM(Mode_117)=0),AND(NOT(ISBLANK(D59)),OR(D59=0,AND(D59&gt;=1,D59&lt;=10,TRUNC(MOD(TRUNC(D59*1,10),1),10)=0))))</f>
        <v>0</v>
      </c>
      <c r="J59" s="50" t="str">
        <f>"Mode_38 "&amp;MCX_Unicod(916)&amp;MCX_Unicod(977)&amp;"o automatic"</f>
        <v>Mode_38 Δϑo automatic</v>
      </c>
      <c r="K59" s="48" t="str">
        <f>CSV_Numeric(Mode_038)</f>
        <v>0</v>
      </c>
    </row>
    <row r="60" spans="1:11" ht="15.75" customHeight="1">
      <c r="A60" s="26" t="s">
        <v>69</v>
      </c>
      <c r="B60" s="76" t="s">
        <v>143</v>
      </c>
      <c r="C60" s="27" t="s">
        <v>70</v>
      </c>
      <c r="D60" s="97"/>
      <c r="E60" s="97"/>
      <c r="F60" s="97"/>
      <c r="G60" s="97"/>
      <c r="H60" s="21" t="s">
        <v>14</v>
      </c>
      <c r="I60" s="75" t="b">
        <f>OR(AND(ISBLANK(D57),OR(AND(AND(NOT(ISBLANK(Mode_018)),Mode_018=0),AND(NOT(ISBLANK(Mode_017)),Mode_017=0)),AND(Mode_047&gt;=4,Mode_047&lt;=5),Mode_047&gt;=7,AND(I93,SUM(Mode_117)=0))),AND(NOT(ISBLANK(D60)),OR(AND(D60&gt;=1,D60&lt;=9999,TRUNC(MOD(TRUNC(D60*1,10),1),10)=0))))</f>
        <v>0</v>
      </c>
      <c r="J60" s="50" t="str">
        <f>"Mode_39 "&amp;MCX_Unicod(916)&amp;MCX_Unicod(977)&amp;"o manual"</f>
        <v>Mode_39 Δϑo manual</v>
      </c>
      <c r="K60" s="48" t="str">
        <f>CSV_Numeric(Mode_039)</f>
        <v>0</v>
      </c>
    </row>
    <row r="61" spans="1:11" ht="15.75" customHeight="1">
      <c r="A61" s="26"/>
      <c r="B61" s="76" t="s">
        <v>144</v>
      </c>
      <c r="C61" s="28"/>
      <c r="D61" s="70">
        <f>IF(OR(Mode_047=6,AND(Mode_047&gt;=14,Mode_047&lt;=16),Mode_047=18),"is disabled by Mode 47 = "&amp;Mode_047,IF(AND(I94,SUM(Mode_120)=0),"is disabled by Mode 120 = 0000",IF(AND(NOT(ISBLANK(Mode_020)),Mode_020=0),"is disabled by Mode 20 = 0","")))</f>
      </c>
      <c r="E61" s="69"/>
      <c r="F61" s="69"/>
      <c r="G61" s="69"/>
      <c r="H61" s="21"/>
      <c r="I61" s="75"/>
      <c r="J61" s="51" t="s">
        <v>214</v>
      </c>
      <c r="K61" s="48" t="str">
        <f>CSV_Numeric(Mode_040)</f>
        <v>0</v>
      </c>
    </row>
    <row r="62" spans="1:11" ht="15.75" customHeight="1">
      <c r="A62" s="26" t="s">
        <v>89</v>
      </c>
      <c r="B62" s="76" t="s">
        <v>144</v>
      </c>
      <c r="C62" s="28" t="s">
        <v>88</v>
      </c>
      <c r="D62" s="101"/>
      <c r="E62" s="100"/>
      <c r="F62" s="100"/>
      <c r="G62" s="100"/>
      <c r="H62" s="21" t="s">
        <v>57</v>
      </c>
      <c r="I62" s="75" t="b">
        <f>OR(AND(ISBLANK(Mode_020),OR(Mode_047=6,AND(Mode_047&gt;=14,Mode_047&lt;=16),Mode_047=18)),AND(NOT(ISBLANK(D62)),OR(D62=0,AND(D62&gt;=50,D62&lt;=200,TRUNC(MOD(TRUNC(D62*1,10),1),10)=0))))</f>
        <v>0</v>
      </c>
      <c r="J62" s="52" t="s">
        <v>207</v>
      </c>
      <c r="K62" s="48" t="str">
        <f>CSV_Numeric(Mode_041)</f>
        <v>0</v>
      </c>
    </row>
    <row r="63" spans="1:11" ht="15.75" customHeight="1">
      <c r="A63" s="26" t="s">
        <v>54</v>
      </c>
      <c r="B63" s="76" t="s">
        <v>145</v>
      </c>
      <c r="C63" s="27" t="s">
        <v>71</v>
      </c>
      <c r="D63" s="108"/>
      <c r="E63" s="108"/>
      <c r="F63" s="108"/>
      <c r="G63" s="108"/>
      <c r="H63" s="21"/>
      <c r="I63" s="75" t="b">
        <f>OR(AND(ISBLANK(Mode_021),OR(AND(Mode_047&gt;=4,Mode_047&lt;=5),Mode_047&gt;=7)),AND(NOT(ISBLANK(D63)),OR(D63=0,D63=1,D63=2)))</f>
        <v>0</v>
      </c>
      <c r="J63" s="52" t="s">
        <v>206</v>
      </c>
      <c r="K63" s="48" t="str">
        <f>CSV_Numeric(Mode_042)</f>
        <v>0</v>
      </c>
    </row>
    <row r="64" spans="1:11" ht="20.25" customHeight="1" thickBot="1">
      <c r="A64" s="66" t="s">
        <v>116</v>
      </c>
      <c r="B64" s="72"/>
      <c r="C64" s="66"/>
      <c r="D64" s="68">
        <f>IF(OR(Mode_047=6,AND(Mode_047&gt;=14,Mode_047&lt;=16),Mode_047=18),"is disabled by Mode 47 = "&amp;Mode_047,IF(AND(I95,SUM(Mode_130)=0),"is disabled by Mode 130 = 0000",IF(AND(NOT(ISBLANK(Mode_030)),Mode_030=0,NOT(ISBLANK(Mode_031)),Mode_031=0),"is disabled by Mode 30 and 31 = 0","")))</f>
      </c>
      <c r="E64" s="66"/>
      <c r="F64" s="66"/>
      <c r="G64" s="66"/>
      <c r="H64" s="66"/>
      <c r="J64" s="52" t="s">
        <v>205</v>
      </c>
      <c r="K64" s="48" t="str">
        <f>CSV_Numeric(Mode_043)</f>
        <v>0</v>
      </c>
    </row>
    <row r="65" spans="1:11" ht="15.75" customHeight="1">
      <c r="A65" s="33" t="s">
        <v>92</v>
      </c>
      <c r="B65" s="77" t="s">
        <v>146</v>
      </c>
      <c r="C65" s="34" t="s">
        <v>90</v>
      </c>
      <c r="D65" s="95"/>
      <c r="E65" s="95"/>
      <c r="F65" s="95"/>
      <c r="G65" s="95"/>
      <c r="H65" s="24" t="s">
        <v>57</v>
      </c>
      <c r="I65" s="1" t="b">
        <f>OR(OR(Mode_047=6,AND(Mode_047&gt;=14,Mode_047&lt;=16),Mode_047=18,AND(NOT(ISBLANK(Mode_130)),AND(I95,SUM(Mode_130)=0))),AND(NOT(ISBLANK(D65)),OR(D65=0,AND(D65&gt;=50,D65&lt;=200,TRUNC(MOD(TRUNC(D65*1,10),1),10)=0))))</f>
        <v>0</v>
      </c>
      <c r="J65" s="52" t="s">
        <v>204</v>
      </c>
      <c r="K65" s="48" t="str">
        <f>CSV_Numeric(Mode_044)</f>
        <v>0</v>
      </c>
    </row>
    <row r="66" spans="1:11" ht="15.75" customHeight="1">
      <c r="A66" s="26" t="s">
        <v>93</v>
      </c>
      <c r="B66" s="76" t="s">
        <v>147</v>
      </c>
      <c r="C66" s="28" t="s">
        <v>91</v>
      </c>
      <c r="D66" s="100"/>
      <c r="E66" s="100"/>
      <c r="F66" s="100"/>
      <c r="G66" s="100"/>
      <c r="H66" s="21" t="s">
        <v>57</v>
      </c>
      <c r="I66" s="1" t="b">
        <f>OR(OR(Mode_047=6,AND(Mode_047&gt;=14,Mode_047&lt;=16),Mode_047=18,AND(NOT(ISBLANK(Mode_130)),AND(I95,SUM(Mode_130)=0))),AND(NOT(ISBLANK(D66)),OR(D66=0,AND(D66&gt;=50,D66&lt;=200,TRUNC(MOD(TRUNC(D66*1,10),1),10)=0))))</f>
        <v>0</v>
      </c>
      <c r="J66" s="52" t="s">
        <v>203</v>
      </c>
      <c r="K66" s="48" t="str">
        <f>CSV_Numeric(Mode_045)</f>
        <v>0</v>
      </c>
    </row>
    <row r="67" spans="1:11" ht="15.75" customHeight="1">
      <c r="A67" s="26" t="s">
        <v>94</v>
      </c>
      <c r="B67" s="76" t="s">
        <v>148</v>
      </c>
      <c r="C67" s="28" t="s">
        <v>95</v>
      </c>
      <c r="D67" s="97"/>
      <c r="E67" s="97"/>
      <c r="F67" s="97"/>
      <c r="G67" s="97"/>
      <c r="H67" s="21" t="s">
        <v>57</v>
      </c>
      <c r="I67" s="75" t="b">
        <f>OR(OR(AND(AND(NOT(ISBLANK(Mode_030)),Mode_030=0),AND(NOT(ISBLANK(Mode_031)),Mode_031=0)),Mode_047=6,AND(Mode_047&gt;=14,Mode_047&lt;=16),Mode_047=18,AND(I95,SUM(Mode_130)=0)),AND(NOT(ISBLANK(D67)),OR(AND(D67&gt;=1,D67&lt;=100,TRUNC(MOD(TRUNC(D67*1,10),1),10)=0))))</f>
        <v>0</v>
      </c>
      <c r="J67" s="46" t="s">
        <v>183</v>
      </c>
      <c r="K67" s="48" t="str">
        <f>CSV_Numeric(Mode_046)</f>
        <v>0</v>
      </c>
    </row>
    <row r="68" spans="1:11" ht="15.75" customHeight="1">
      <c r="A68" s="26" t="s">
        <v>55</v>
      </c>
      <c r="B68" s="76" t="s">
        <v>149</v>
      </c>
      <c r="C68" s="35" t="s">
        <v>99</v>
      </c>
      <c r="D68" s="97"/>
      <c r="E68" s="97"/>
      <c r="F68" s="97"/>
      <c r="G68" s="97"/>
      <c r="H68" s="21" t="s">
        <v>58</v>
      </c>
      <c r="I68" s="75" t="b">
        <f>OR(OR(AND(AND(NOT(ISBLANK(Mode_030)),Mode_030=0),AND(NOT(ISBLANK(Mode_031)),Mode_031=0)),Mode_047=6,AND(Mode_047&gt;=14,Mode_047&lt;=16),Mode_047=18,AND(I95,SUM(Mode_130)=0)),AND(NOT(ISBLANK(D68)),OR(AND(D68&gt;=1,D68&lt;=200,TRUNC(MOD(TRUNC(D68*1,10),1),10)=0))))</f>
        <v>0</v>
      </c>
      <c r="J68" s="46" t="s">
        <v>184</v>
      </c>
      <c r="K68" s="48" t="str">
        <f>CSV_Numeric(Mode_047)</f>
        <v>0</v>
      </c>
    </row>
    <row r="69" spans="1:11" ht="15.75" customHeight="1">
      <c r="A69" s="26" t="s">
        <v>56</v>
      </c>
      <c r="B69" s="76" t="s">
        <v>150</v>
      </c>
      <c r="C69" s="35" t="s">
        <v>100</v>
      </c>
      <c r="D69" s="97"/>
      <c r="E69" s="97"/>
      <c r="F69" s="97"/>
      <c r="G69" s="97"/>
      <c r="H69" s="21" t="s">
        <v>58</v>
      </c>
      <c r="I69" s="75" t="b">
        <f>OR(OR(AND(AND(NOT(ISBLANK(Mode_030)),Mode_030=0),AND(NOT(ISBLANK(Mode_031)),Mode_031=0)),Mode_047=6,AND(Mode_047&gt;=14,Mode_047&lt;=16),Mode_047=18,AND(I95,SUM(Mode_130)=0)),AND(NOT(ISBLANK(D69)),OR(AND(D69&gt;=1,D69&lt;=999,TRUNC(MOD(TRUNC(D69*1,10),1),10)=0))))</f>
        <v>0</v>
      </c>
      <c r="J69" s="53" t="s">
        <v>220</v>
      </c>
      <c r="K69" s="74" t="str">
        <f>CSV_Numeric(D86)</f>
        <v>0</v>
      </c>
    </row>
    <row r="70" spans="1:11" ht="15.75" customHeight="1">
      <c r="A70" s="36" t="s">
        <v>96</v>
      </c>
      <c r="B70" s="76" t="s">
        <v>151</v>
      </c>
      <c r="C70" s="36" t="s">
        <v>98</v>
      </c>
      <c r="D70" s="100"/>
      <c r="E70" s="100"/>
      <c r="F70" s="100"/>
      <c r="G70" s="100"/>
      <c r="H70" s="21" t="s">
        <v>57</v>
      </c>
      <c r="I70" s="75" t="b">
        <f>OR(OR(AND(AND(NOT(ISBLANK(Mode_030)),Mode_030=0),AND(NOT(ISBLANK(Mode_031)),Mode_031=0)),Mode_047=6,AND(Mode_047&gt;=14,Mode_047&lt;=16),Mode_047=18,AND(I95,SUM(Mode_130)=0)),AND(NOT(ISBLANK(D70)),OR(AND(D70&gt;=0,D70&lt;=200,TRUNC(MOD(TRUNC(D70*1,10),1),10)=0))))</f>
        <v>0</v>
      </c>
      <c r="J70" s="53" t="s">
        <v>224</v>
      </c>
      <c r="K70" s="74" t="str">
        <f aca="true" t="shared" si="0" ref="K70:K81">CSV_Numeric(D87)</f>
        <v>0</v>
      </c>
    </row>
    <row r="71" spans="1:11" ht="15.75" customHeight="1">
      <c r="A71" s="36" t="s">
        <v>97</v>
      </c>
      <c r="B71" s="76" t="s">
        <v>152</v>
      </c>
      <c r="C71" s="36" t="s">
        <v>98</v>
      </c>
      <c r="D71" s="102"/>
      <c r="E71" s="102"/>
      <c r="F71" s="102"/>
      <c r="G71" s="102"/>
      <c r="H71" s="21" t="s">
        <v>57</v>
      </c>
      <c r="I71" s="75" t="b">
        <f>OR(ISBLANK(Mode_039),AND(NOT(ISBLANK(D71)),OR(D71=0,AND(D71&gt;=0,D71&lt;=201,TRUNC(MOD(TRUNC(D71*1,10),1),10)=0))))</f>
        <v>1</v>
      </c>
      <c r="J71" s="53" t="s">
        <v>225</v>
      </c>
      <c r="K71" s="74" t="str">
        <f t="shared" si="0"/>
        <v>0</v>
      </c>
    </row>
    <row r="72" spans="1:11" ht="20.25" customHeight="1" thickBot="1">
      <c r="A72" s="89" t="s">
        <v>213</v>
      </c>
      <c r="B72" s="89"/>
      <c r="C72" s="89"/>
      <c r="D72" s="89"/>
      <c r="E72" s="89"/>
      <c r="F72" s="89"/>
      <c r="G72" s="89"/>
      <c r="H72" s="89"/>
      <c r="J72" s="53" t="s">
        <v>226</v>
      </c>
      <c r="K72" s="74" t="str">
        <f t="shared" si="0"/>
        <v>0</v>
      </c>
    </row>
    <row r="73" spans="1:11" ht="15.75" customHeight="1">
      <c r="A73" s="26" t="s">
        <v>212</v>
      </c>
      <c r="B73" s="76" t="s">
        <v>153</v>
      </c>
      <c r="C73" s="27" t="s">
        <v>75</v>
      </c>
      <c r="D73" s="107"/>
      <c r="E73" s="107"/>
      <c r="F73" s="107"/>
      <c r="G73" s="107"/>
      <c r="H73" s="21"/>
      <c r="J73" s="53" t="s">
        <v>227</v>
      </c>
      <c r="K73" s="74" t="str">
        <f t="shared" si="0"/>
        <v>0</v>
      </c>
    </row>
    <row r="74" spans="1:11" ht="20.25" customHeight="1" thickBot="1">
      <c r="A74" s="66" t="s">
        <v>117</v>
      </c>
      <c r="B74" s="72"/>
      <c r="C74" s="72"/>
      <c r="D74" s="67">
        <f>IF(OR(Mode_047=2,Mode_047=11,Mode_047=12,Mode_047=19,Mode_047=0),IF(AND(I96,SUM(Mode_141)=0),"is disabled by Mode 141 = 0000",IF(AND(NOT(ISBLANK(Mode_041)),Mode_041=0),"is disabled by Mode 41 = 0","")),IF(ISBLANK(Mode_047),"","is disabled by Mode 47 = "&amp;Mode_047))</f>
      </c>
      <c r="E74" s="66"/>
      <c r="F74" s="66"/>
      <c r="G74" s="66"/>
      <c r="H74" s="66"/>
      <c r="J74" s="53" t="s">
        <v>228</v>
      </c>
      <c r="K74" s="74" t="str">
        <f t="shared" si="0"/>
        <v>0</v>
      </c>
    </row>
    <row r="75" spans="1:13" ht="15.75" customHeight="1">
      <c r="A75" s="19" t="s">
        <v>34</v>
      </c>
      <c r="B75" s="76" t="s">
        <v>154</v>
      </c>
      <c r="C75" s="21" t="s">
        <v>38</v>
      </c>
      <c r="D75" s="95"/>
      <c r="E75" s="95"/>
      <c r="F75" s="95"/>
      <c r="G75" s="95"/>
      <c r="H75" s="21" t="s">
        <v>13</v>
      </c>
      <c r="I75" s="75" t="b">
        <f>OR(AND(ISBLANK(Mode_041),OR(NOT(OR(Mode_047=2,Mode_047=11,Mode_047=12,Mode_047=19,Mode_047=0)),AND(I96,SUM(Mode_141)=0))),AND(NOT(ISBLANK(D75)),OR(D75=0,AND(D75&gt;=2,D75&lt;=20,TRUNC(MOD(TRUNC(D75*10,10),1),10)=0))))</f>
        <v>0</v>
      </c>
      <c r="J75" s="53" t="s">
        <v>229</v>
      </c>
      <c r="K75" s="74" t="str">
        <f t="shared" si="0"/>
        <v>0</v>
      </c>
      <c r="M75" s="78"/>
    </row>
    <row r="76" spans="1:11" ht="15.75" customHeight="1">
      <c r="A76" s="19" t="s">
        <v>35</v>
      </c>
      <c r="B76" s="76" t="s">
        <v>155</v>
      </c>
      <c r="C76" s="21" t="s">
        <v>39</v>
      </c>
      <c r="D76" s="100"/>
      <c r="E76" s="100"/>
      <c r="F76" s="100"/>
      <c r="G76" s="100"/>
      <c r="H76" s="21" t="s">
        <v>14</v>
      </c>
      <c r="I76" s="75" t="b">
        <f>OR(AND(ISBLANK(Mode_042),OR(AND(NOT(ISBLANK(Mode_041)),Mode_041=0),NOT(OR(Mode_047=2,Mode_047=11,Mode_047=12,Mode_047=19,Mode_047=0)),AND(I96,SUM(Mode_141)=0))),AND(NOT(ISBLANK(D76)),OR(D76=0,AND(D76&gt;=0,D76&lt;=9.99,TRUNC(MOD(TRUNC(D76*100,10),1),10)=0))))</f>
        <v>0</v>
      </c>
      <c r="J76" s="53" t="s">
        <v>234</v>
      </c>
      <c r="K76" s="74" t="str">
        <f t="shared" si="0"/>
        <v>0</v>
      </c>
    </row>
    <row r="77" spans="1:11" ht="20.25" customHeight="1" thickBot="1">
      <c r="A77" s="66" t="s">
        <v>118</v>
      </c>
      <c r="B77" s="72"/>
      <c r="C77" s="72"/>
      <c r="D77" s="67">
        <f>IF(OR(Mode_047=2,Mode_047=11,Mode_047=12,Mode_047=19,Mode_047=0),IF(AND(I97,SUM(Mode_143)=0),"is disabled by Mode 143 = 0000",IF(AND(NOT(ISBLANK(Mode_043)),Mode_043=0),"is disabled by Mode 43 = 0","")),IF(ISBLANK(Mode_047),"","is disabled by Mode 47 = "&amp;Mode_047))</f>
      </c>
      <c r="E77" s="66"/>
      <c r="F77" s="66"/>
      <c r="G77" s="66"/>
      <c r="H77" s="66"/>
      <c r="I77" s="75"/>
      <c r="J77" s="58" t="str">
        <f>"Mode_120 MRI Temperature rise "&amp;MCX_Unicod(916)&amp;MCX_Unicod(977)&amp;"3"</f>
        <v>Mode_120 MRI Temperature rise Δϑ3</v>
      </c>
      <c r="K77" s="74" t="str">
        <f t="shared" si="0"/>
        <v>0</v>
      </c>
    </row>
    <row r="78" spans="1:11" ht="15.75" customHeight="1">
      <c r="A78" s="19" t="s">
        <v>44</v>
      </c>
      <c r="B78" s="76" t="s">
        <v>156</v>
      </c>
      <c r="C78" s="21" t="s">
        <v>40</v>
      </c>
      <c r="D78" s="95"/>
      <c r="E78" s="95"/>
      <c r="F78" s="95"/>
      <c r="G78" s="95"/>
      <c r="H78" s="21" t="s">
        <v>13</v>
      </c>
      <c r="I78" s="75" t="b">
        <f>OR(AND(ISBLANK(Mode_043),OR(NOT(OR(Mode_047=2,Mode_047=11,Mode_047=12,Mode_047=19,Mode_047=0)),AND(I97,SUM(Mode_143)=0))),AND(NOT(ISBLANK(D78)),OR(D78=0,AND(D78&gt;=0.8,D78&lt;=8,TRUNC(MOD(TRUNC(D78*10,10),1),10)=0))))</f>
        <v>0</v>
      </c>
      <c r="J78" s="58" t="str">
        <f>"Mode_130 MRI Temperature rise "&amp;MCX_Unicod(916)&amp;MCX_Unicod(977)&amp;"1 (Warn), "&amp;MCX_Unicod(916)&amp;MCX_Unicod(977)&amp;"2 (Trip)"</f>
        <v>Mode_130 MRI Temperature rise Δϑ1 (Warn), Δϑ2 (Trip)</v>
      </c>
      <c r="K78" s="74" t="str">
        <f t="shared" si="0"/>
        <v>0</v>
      </c>
    </row>
    <row r="79" spans="1:11" ht="15.75" customHeight="1">
      <c r="A79" s="19" t="s">
        <v>45</v>
      </c>
      <c r="B79" s="76" t="s">
        <v>157</v>
      </c>
      <c r="C79" s="21" t="s">
        <v>41</v>
      </c>
      <c r="D79" s="97"/>
      <c r="E79" s="97"/>
      <c r="F79" s="97"/>
      <c r="G79" s="97"/>
      <c r="H79" s="21" t="s">
        <v>14</v>
      </c>
      <c r="I79" s="75" t="b">
        <f>OR(AND(ISBLANK(Mode_044),OR(AND(NOT(ISBLANK(Mode_043)),Mode_043=0),NOT(OR(Mode_047=2,Mode_047=11,Mode_047=12,Mode_047=19,Mode_047=0)),AND(I97,SUM(Mode_143)=0))),OR(AND(D79&gt;=0.1,D79&lt;=99.9,TRUNC(MOD(TRUNC(D79*10,10),1),10)=0),AND(D79&gt;=100,D79&lt;=200,TRUNC(MOD(TRUNC(D79*1,10),1),10)=0)))</f>
        <v>0</v>
      </c>
      <c r="J79" s="53" t="s">
        <v>230</v>
      </c>
      <c r="K79" s="74" t="str">
        <f t="shared" si="0"/>
        <v>0</v>
      </c>
    </row>
    <row r="80" spans="1:11" ht="20.25" customHeight="1" thickBot="1">
      <c r="A80" s="66" t="s">
        <v>119</v>
      </c>
      <c r="B80" s="72"/>
      <c r="C80" s="72"/>
      <c r="D80" s="67">
        <f>IF(OR(Mode_047=2,Mode_047=11,Mode_047=12,Mode_047=19,Mode_047=0),IF(AND(I98,SUM(Mode_145)=0),"is disabled by Mode 145 = 0000",IF(AND(NOT(ISBLANK(Mode_045)),Mode_045=0),"is disabled by Mode 45 = 0","")),IF(ISBLANK(Mode_047),"","is disabled by Mode 47 = "&amp;Mode_047))</f>
      </c>
      <c r="E80" s="66"/>
      <c r="F80" s="66"/>
      <c r="G80" s="66"/>
      <c r="H80" s="66"/>
      <c r="I80" s="75"/>
      <c r="J80" s="53" t="s">
        <v>231</v>
      </c>
      <c r="K80" s="74" t="str">
        <f t="shared" si="0"/>
        <v>0</v>
      </c>
    </row>
    <row r="81" spans="1:11" ht="15.75" customHeight="1">
      <c r="A81" s="19" t="s">
        <v>46</v>
      </c>
      <c r="B81" s="76" t="s">
        <v>158</v>
      </c>
      <c r="C81" s="21" t="s">
        <v>42</v>
      </c>
      <c r="D81" s="95"/>
      <c r="E81" s="95"/>
      <c r="F81" s="95"/>
      <c r="G81" s="95"/>
      <c r="H81" s="21" t="s">
        <v>13</v>
      </c>
      <c r="I81" s="75" t="b">
        <f>OR(AND(ISBLANK(Mode_045),OR(NOT(OR(Mode_047=2,Mode_047=11,Mode_047=12,Mode_047=19,Mode_047=0)),AND(I98,SUM(Mode_145)=0))),AND(NOT(ISBLANK(D81)),OR(D81=0,AND(D81&gt;=0.8,D81&lt;=8,TRUNC(MOD(TRUNC(D81*10,10),1),10)=0))))</f>
        <v>0</v>
      </c>
      <c r="J81" s="53" t="s">
        <v>232</v>
      </c>
      <c r="K81" s="74" t="str">
        <f t="shared" si="0"/>
        <v>0</v>
      </c>
    </row>
    <row r="82" spans="1:11" s="4" customFormat="1" ht="15.75" customHeight="1">
      <c r="A82" s="19" t="s">
        <v>47</v>
      </c>
      <c r="B82" s="76" t="s">
        <v>159</v>
      </c>
      <c r="C82" s="21" t="s">
        <v>43</v>
      </c>
      <c r="D82" s="97"/>
      <c r="E82" s="97"/>
      <c r="F82" s="97"/>
      <c r="G82" s="97"/>
      <c r="H82" s="21" t="s">
        <v>14</v>
      </c>
      <c r="I82" s="75" t="b">
        <f>OR(AND(ISBLANK(Mode_046),OR(AND(NOT(ISBLANK(Mode_045)),Mode_045=0),NOT(OR(Mode_047=2,Mode_047=11,Mode_047=12,Mode_047=19,Mode_047=0)),AND(I98,SUM(Mode_145)=0))),OR(AND(D82&gt;=0.1,D82&lt;=99.9,TRUNC(MOD(TRUNC(D82*10,10),1),10)=0),AND(D82&gt;=100,D82&lt;=200,TRUNC(MOD(TRUNC(D82*1,10),1),10)=0)))</f>
        <v>0</v>
      </c>
      <c r="J82" s="59" t="s">
        <v>221</v>
      </c>
      <c r="K82" s="74" t="str">
        <f>CSV_Numeric(E86)</f>
        <v>0</v>
      </c>
    </row>
    <row r="83" spans="1:11" ht="20.25" customHeight="1" thickBot="1">
      <c r="A83" s="89" t="s">
        <v>120</v>
      </c>
      <c r="B83" s="89"/>
      <c r="C83" s="89"/>
      <c r="D83" s="89"/>
      <c r="E83" s="89"/>
      <c r="F83" s="89"/>
      <c r="G83" s="89"/>
      <c r="H83" s="89"/>
      <c r="I83" s="4"/>
      <c r="J83" s="59" t="s">
        <v>235</v>
      </c>
      <c r="K83" s="74" t="str">
        <f aca="true" t="shared" si="1" ref="K83:K94">CSV_Numeric(E87)</f>
        <v>0</v>
      </c>
    </row>
    <row r="84" spans="1:11" ht="20.25" customHeight="1">
      <c r="A84" s="19" t="s">
        <v>73</v>
      </c>
      <c r="B84" s="20" t="s">
        <v>160</v>
      </c>
      <c r="C84" s="27" t="s">
        <v>86</v>
      </c>
      <c r="D84" s="94"/>
      <c r="E84" s="94"/>
      <c r="F84" s="94"/>
      <c r="G84" s="94"/>
      <c r="H84" s="21" t="s">
        <v>13</v>
      </c>
      <c r="J84" s="59" t="s">
        <v>236</v>
      </c>
      <c r="K84" s="74" t="str">
        <f t="shared" si="1"/>
        <v>0</v>
      </c>
    </row>
    <row r="85" spans="1:11" ht="20.25" customHeight="1">
      <c r="A85" s="37" t="s">
        <v>72</v>
      </c>
      <c r="B85" s="42"/>
      <c r="C85" s="5"/>
      <c r="D85" s="38" t="s">
        <v>76</v>
      </c>
      <c r="E85" s="38" t="s">
        <v>77</v>
      </c>
      <c r="F85" s="38" t="s">
        <v>78</v>
      </c>
      <c r="G85" s="38" t="s">
        <v>79</v>
      </c>
      <c r="H85" s="41"/>
      <c r="J85" s="59" t="s">
        <v>237</v>
      </c>
      <c r="K85" s="74" t="str">
        <f t="shared" si="1"/>
        <v>0</v>
      </c>
    </row>
    <row r="86" spans="1:11" ht="15.75" customHeight="1">
      <c r="A86" s="19" t="s">
        <v>15</v>
      </c>
      <c r="B86" s="43" t="s">
        <v>161</v>
      </c>
      <c r="C86" s="27" t="s">
        <v>36</v>
      </c>
      <c r="D86" s="39"/>
      <c r="E86" s="8"/>
      <c r="F86" s="8"/>
      <c r="G86" s="40"/>
      <c r="H86" s="10"/>
      <c r="I86" s="1" t="b">
        <f>NOT(OR(ISBLANK(D86),ISBLANK(E86),ISBLANK(F86),ISBLANK(G86)))</f>
        <v>0</v>
      </c>
      <c r="J86" s="59" t="s">
        <v>238</v>
      </c>
      <c r="K86" s="74" t="str">
        <f t="shared" si="1"/>
        <v>0</v>
      </c>
    </row>
    <row r="87" spans="1:11" ht="15.75" customHeight="1">
      <c r="A87" s="19" t="s">
        <v>17</v>
      </c>
      <c r="B87" s="20" t="s">
        <v>162</v>
      </c>
      <c r="C87" s="27" t="s">
        <v>80</v>
      </c>
      <c r="D87" s="39"/>
      <c r="E87" s="8"/>
      <c r="F87" s="8"/>
      <c r="G87" s="40"/>
      <c r="H87" s="10"/>
      <c r="I87" s="1" t="b">
        <f aca="true" t="shared" si="2" ref="I87:I98">NOT(OR(ISBLANK(D87),ISBLANK(E87),ISBLANK(F87),ISBLANK(G87)))</f>
        <v>0</v>
      </c>
      <c r="J87" s="59" t="s">
        <v>239</v>
      </c>
      <c r="K87" s="74" t="str">
        <f t="shared" si="1"/>
        <v>0</v>
      </c>
    </row>
    <row r="88" spans="1:11" ht="15.75" customHeight="1">
      <c r="A88" s="19" t="s">
        <v>20</v>
      </c>
      <c r="B88" s="20" t="s">
        <v>163</v>
      </c>
      <c r="C88" s="27" t="s">
        <v>19</v>
      </c>
      <c r="D88" s="39"/>
      <c r="E88" s="8"/>
      <c r="F88" s="8"/>
      <c r="G88" s="40"/>
      <c r="H88" s="10"/>
      <c r="I88" s="1" t="b">
        <f t="shared" si="2"/>
        <v>0</v>
      </c>
      <c r="J88" s="59" t="s">
        <v>240</v>
      </c>
      <c r="K88" s="74" t="str">
        <f t="shared" si="1"/>
        <v>0</v>
      </c>
    </row>
    <row r="89" spans="1:11" ht="15.75" customHeight="1">
      <c r="A89" s="19" t="s">
        <v>24</v>
      </c>
      <c r="B89" s="20" t="s">
        <v>164</v>
      </c>
      <c r="C89" s="27" t="s">
        <v>26</v>
      </c>
      <c r="D89" s="39"/>
      <c r="E89" s="8"/>
      <c r="F89" s="8"/>
      <c r="G89" s="40"/>
      <c r="H89" s="10"/>
      <c r="I89" s="1" t="b">
        <f t="shared" si="2"/>
        <v>0</v>
      </c>
      <c r="J89" s="59" t="s">
        <v>241</v>
      </c>
      <c r="K89" s="74" t="str">
        <f t="shared" si="1"/>
        <v>0</v>
      </c>
    </row>
    <row r="90" spans="1:11" ht="15.75" customHeight="1">
      <c r="A90" s="19" t="s">
        <v>48</v>
      </c>
      <c r="B90" s="20" t="s">
        <v>165</v>
      </c>
      <c r="C90" s="27" t="s">
        <v>29</v>
      </c>
      <c r="D90" s="39"/>
      <c r="E90" s="39"/>
      <c r="F90" s="39"/>
      <c r="G90" s="40"/>
      <c r="H90" s="10"/>
      <c r="I90" s="1" t="b">
        <f t="shared" si="2"/>
        <v>0</v>
      </c>
      <c r="J90" s="60" t="str">
        <f>"Mode_120 MRII Temperature rise "&amp;MCX_Unicod(916)&amp;MCX_Unicod(977)&amp;"3"</f>
        <v>Mode_120 MRII Temperature rise Δϑ3</v>
      </c>
      <c r="K90" s="74" t="str">
        <f t="shared" si="1"/>
        <v>0</v>
      </c>
    </row>
    <row r="91" spans="1:11" ht="15.75" customHeight="1">
      <c r="A91" s="19" t="s">
        <v>84</v>
      </c>
      <c r="B91" s="20" t="s">
        <v>166</v>
      </c>
      <c r="C91" s="27" t="s">
        <v>30</v>
      </c>
      <c r="D91" s="39"/>
      <c r="E91" s="8"/>
      <c r="F91" s="8"/>
      <c r="G91" s="40"/>
      <c r="H91" s="10"/>
      <c r="I91" s="1" t="b">
        <f t="shared" si="2"/>
        <v>0</v>
      </c>
      <c r="J91" s="60" t="str">
        <f>"Mode_130 MRII Temperature rise "&amp;MCX_Unicod(916)&amp;MCX_Unicod(977)&amp;"1 (Warn), "&amp;MCX_Unicod(916)&amp;MCX_Unicod(977)&amp;"2 (Trip)"</f>
        <v>Mode_130 MRII Temperature rise Δϑ1 (Warn), Δϑ2 (Trip)</v>
      </c>
      <c r="K91" s="74" t="str">
        <f t="shared" si="1"/>
        <v>0</v>
      </c>
    </row>
    <row r="92" spans="1:11" ht="15.75" customHeight="1">
      <c r="A92" s="19" t="s">
        <v>67</v>
      </c>
      <c r="B92" s="20" t="s">
        <v>167</v>
      </c>
      <c r="C92" s="27" t="s">
        <v>66</v>
      </c>
      <c r="D92" s="39"/>
      <c r="E92" s="8"/>
      <c r="F92" s="8"/>
      <c r="G92" s="40"/>
      <c r="H92" s="10"/>
      <c r="I92" s="1" t="b">
        <f t="shared" si="2"/>
        <v>0</v>
      </c>
      <c r="J92" s="59" t="s">
        <v>242</v>
      </c>
      <c r="K92" s="74" t="str">
        <f t="shared" si="1"/>
        <v>0</v>
      </c>
    </row>
    <row r="93" spans="1:11" ht="15.75" customHeight="1">
      <c r="A93" s="19" t="s">
        <v>218</v>
      </c>
      <c r="B93" s="20" t="s">
        <v>168</v>
      </c>
      <c r="C93" s="27" t="s">
        <v>81</v>
      </c>
      <c r="D93" s="39"/>
      <c r="E93" s="8"/>
      <c r="F93" s="8"/>
      <c r="G93" s="40"/>
      <c r="H93" s="10"/>
      <c r="I93" s="1" t="b">
        <f t="shared" si="2"/>
        <v>0</v>
      </c>
      <c r="J93" s="59" t="s">
        <v>243</v>
      </c>
      <c r="K93" s="74" t="str">
        <f t="shared" si="1"/>
        <v>0</v>
      </c>
    </row>
    <row r="94" spans="1:11" ht="15.75" customHeight="1">
      <c r="A94" s="26" t="s">
        <v>89</v>
      </c>
      <c r="B94" s="20" t="s">
        <v>169</v>
      </c>
      <c r="C94" s="28" t="s">
        <v>88</v>
      </c>
      <c r="D94" s="39"/>
      <c r="E94" s="8"/>
      <c r="F94" s="8"/>
      <c r="G94" s="40"/>
      <c r="H94" s="10"/>
      <c r="I94" s="1" t="b">
        <f t="shared" si="2"/>
        <v>0</v>
      </c>
      <c r="J94" s="59" t="s">
        <v>244</v>
      </c>
      <c r="K94" s="74" t="str">
        <f t="shared" si="1"/>
        <v>0</v>
      </c>
    </row>
    <row r="95" spans="1:11" ht="15.75" customHeight="1">
      <c r="A95" s="26" t="s">
        <v>233</v>
      </c>
      <c r="B95" s="20" t="s">
        <v>170</v>
      </c>
      <c r="C95" s="28" t="s">
        <v>219</v>
      </c>
      <c r="D95" s="39"/>
      <c r="E95" s="8"/>
      <c r="F95" s="8"/>
      <c r="G95" s="40"/>
      <c r="H95" s="10"/>
      <c r="I95" s="1" t="b">
        <f t="shared" si="2"/>
        <v>0</v>
      </c>
      <c r="J95" s="61" t="s">
        <v>222</v>
      </c>
      <c r="K95" s="74" t="str">
        <f>CSV_Numeric(F86)</f>
        <v>0</v>
      </c>
    </row>
    <row r="96" spans="1:11" ht="15.75" customHeight="1">
      <c r="A96" s="19" t="s">
        <v>34</v>
      </c>
      <c r="B96" s="20" t="s">
        <v>171</v>
      </c>
      <c r="C96" s="27" t="s">
        <v>38</v>
      </c>
      <c r="D96" s="39"/>
      <c r="E96" s="8"/>
      <c r="F96" s="8"/>
      <c r="G96" s="40"/>
      <c r="H96" s="10"/>
      <c r="I96" s="1" t="b">
        <f t="shared" si="2"/>
        <v>0</v>
      </c>
      <c r="J96" s="61" t="s">
        <v>245</v>
      </c>
      <c r="K96" s="74" t="str">
        <f aca="true" t="shared" si="3" ref="K96:K107">CSV_Numeric(F87)</f>
        <v>0</v>
      </c>
    </row>
    <row r="97" spans="1:11" ht="15.75" customHeight="1">
      <c r="A97" s="19" t="s">
        <v>44</v>
      </c>
      <c r="B97" s="20" t="s">
        <v>172</v>
      </c>
      <c r="C97" s="27" t="s">
        <v>40</v>
      </c>
      <c r="D97" s="39"/>
      <c r="E97" s="8"/>
      <c r="F97" s="8"/>
      <c r="G97" s="40"/>
      <c r="H97" s="10"/>
      <c r="I97" s="1" t="b">
        <f t="shared" si="2"/>
        <v>0</v>
      </c>
      <c r="J97" s="61" t="s">
        <v>246</v>
      </c>
      <c r="K97" s="74" t="str">
        <f t="shared" si="3"/>
        <v>0</v>
      </c>
    </row>
    <row r="98" spans="1:11" ht="15.75" customHeight="1">
      <c r="A98" s="19" t="s">
        <v>46</v>
      </c>
      <c r="B98" s="20" t="s">
        <v>173</v>
      </c>
      <c r="C98" s="27" t="s">
        <v>42</v>
      </c>
      <c r="D98" s="39"/>
      <c r="E98" s="8"/>
      <c r="F98" s="8"/>
      <c r="G98" s="40"/>
      <c r="H98" s="10"/>
      <c r="I98" s="1" t="b">
        <f t="shared" si="2"/>
        <v>0</v>
      </c>
      <c r="J98" s="61" t="s">
        <v>247</v>
      </c>
      <c r="K98" s="74" t="str">
        <f t="shared" si="3"/>
        <v>0</v>
      </c>
    </row>
    <row r="99" spans="1:11" ht="20.25" customHeight="1" thickBot="1">
      <c r="A99" s="89" t="s">
        <v>65</v>
      </c>
      <c r="B99" s="89"/>
      <c r="C99" s="89"/>
      <c r="D99" s="89"/>
      <c r="E99" s="89"/>
      <c r="F99" s="89"/>
      <c r="G99" s="89"/>
      <c r="H99" s="89"/>
      <c r="J99" s="61" t="s">
        <v>248</v>
      </c>
      <c r="K99" s="74" t="str">
        <f t="shared" si="3"/>
        <v>0</v>
      </c>
    </row>
    <row r="100" spans="1:11" ht="20.25" customHeight="1">
      <c r="A100" s="22" t="s">
        <v>59</v>
      </c>
      <c r="B100" s="23"/>
      <c r="C100" s="71"/>
      <c r="D100" s="94"/>
      <c r="E100" s="94"/>
      <c r="F100" s="94"/>
      <c r="G100" s="94"/>
      <c r="H100" s="24"/>
      <c r="J100" s="61" t="s">
        <v>249</v>
      </c>
      <c r="K100" s="74" t="str">
        <f t="shared" si="3"/>
        <v>0</v>
      </c>
    </row>
    <row r="101" spans="1:11" ht="20.25" customHeight="1" thickBot="1">
      <c r="A101" s="89" t="s">
        <v>61</v>
      </c>
      <c r="B101" s="89"/>
      <c r="C101" s="89"/>
      <c r="D101" s="89"/>
      <c r="E101" s="89"/>
      <c r="F101" s="89"/>
      <c r="G101" s="89"/>
      <c r="H101" s="89"/>
      <c r="J101" s="61" t="s">
        <v>250</v>
      </c>
      <c r="K101" s="74" t="str">
        <f t="shared" si="3"/>
        <v>0</v>
      </c>
    </row>
    <row r="102" spans="1:11" ht="15.75" customHeight="1">
      <c r="A102" s="22" t="s">
        <v>60</v>
      </c>
      <c r="B102" s="23"/>
      <c r="C102" s="71"/>
      <c r="D102" s="94"/>
      <c r="E102" s="94"/>
      <c r="F102" s="94"/>
      <c r="G102" s="94"/>
      <c r="H102" s="24"/>
      <c r="J102" s="61" t="s">
        <v>251</v>
      </c>
      <c r="K102" s="74" t="str">
        <f t="shared" si="3"/>
        <v>0</v>
      </c>
    </row>
    <row r="103" spans="1:11" ht="15.75" customHeight="1">
      <c r="A103" s="19" t="s">
        <v>62</v>
      </c>
      <c r="B103" s="20"/>
      <c r="C103" s="27"/>
      <c r="D103" s="97"/>
      <c r="E103" s="97"/>
      <c r="F103" s="97"/>
      <c r="G103" s="97"/>
      <c r="H103" s="21"/>
      <c r="J103" s="62" t="str">
        <f>"Mode_120 ARI Temperature rise "&amp;MCX_Unicod(916)&amp;MCX_Unicod(977)&amp;"3"</f>
        <v>Mode_120 ARI Temperature rise Δϑ3</v>
      </c>
      <c r="K103" s="74" t="str">
        <f t="shared" si="3"/>
        <v>0</v>
      </c>
    </row>
    <row r="104" spans="1:11" ht="15.75" customHeight="1">
      <c r="A104" s="19" t="s">
        <v>63</v>
      </c>
      <c r="B104" s="20"/>
      <c r="C104" s="27"/>
      <c r="D104" s="97"/>
      <c r="E104" s="97"/>
      <c r="F104" s="97"/>
      <c r="G104" s="97"/>
      <c r="H104" s="21"/>
      <c r="J104" s="62" t="str">
        <f>"Mode_130 ARI Temperature rise "&amp;MCX_Unicod(916)&amp;MCX_Unicod(977)&amp;"1 (Warn), "&amp;MCX_Unicod(916)&amp;MCX_Unicod(977)&amp;"2 (Trip)"</f>
        <v>Mode_130 ARI Temperature rise Δϑ1 (Warn), Δϑ2 (Trip)</v>
      </c>
      <c r="K104" s="74" t="str">
        <f t="shared" si="3"/>
        <v>0</v>
      </c>
    </row>
    <row r="105" spans="1:11" ht="15.75" customHeight="1">
      <c r="A105" s="19" t="s">
        <v>64</v>
      </c>
      <c r="B105" s="20"/>
      <c r="C105" s="27"/>
      <c r="D105" s="97"/>
      <c r="E105" s="97"/>
      <c r="F105" s="97"/>
      <c r="G105" s="97"/>
      <c r="H105" s="21"/>
      <c r="J105" s="61" t="s">
        <v>252</v>
      </c>
      <c r="K105" s="74" t="str">
        <f t="shared" si="3"/>
        <v>0</v>
      </c>
    </row>
    <row r="106" spans="10:11" ht="12.75" hidden="1">
      <c r="J106" s="61" t="s">
        <v>253</v>
      </c>
      <c r="K106" s="74" t="str">
        <f t="shared" si="3"/>
        <v>0</v>
      </c>
    </row>
    <row r="107" spans="10:11" ht="12.75" hidden="1">
      <c r="J107" s="61" t="s">
        <v>254</v>
      </c>
      <c r="K107" s="74" t="str">
        <f t="shared" si="3"/>
        <v>0</v>
      </c>
    </row>
    <row r="108" spans="10:11" ht="12.75" hidden="1">
      <c r="J108" s="63" t="s">
        <v>223</v>
      </c>
      <c r="K108" s="74" t="str">
        <f>CSV_Numeric(G86)</f>
        <v>0</v>
      </c>
    </row>
    <row r="109" spans="10:11" ht="12.75" hidden="1">
      <c r="J109" s="63" t="s">
        <v>255</v>
      </c>
      <c r="K109" s="74" t="str">
        <f aca="true" t="shared" si="4" ref="K109:K120">CSV_Numeric(G87)</f>
        <v>0</v>
      </c>
    </row>
    <row r="110" spans="10:11" ht="12.75" hidden="1">
      <c r="J110" s="63" t="s">
        <v>256</v>
      </c>
      <c r="K110" s="74" t="str">
        <f t="shared" si="4"/>
        <v>0</v>
      </c>
    </row>
    <row r="111" spans="10:11" ht="12.75" hidden="1">
      <c r="J111" s="63" t="s">
        <v>257</v>
      </c>
      <c r="K111" s="74" t="str">
        <f t="shared" si="4"/>
        <v>0</v>
      </c>
    </row>
    <row r="112" spans="10:11" ht="12.75" hidden="1">
      <c r="J112" s="63" t="s">
        <v>258</v>
      </c>
      <c r="K112" s="74" t="str">
        <f t="shared" si="4"/>
        <v>0</v>
      </c>
    </row>
    <row r="113" spans="10:11" ht="12.75" hidden="1">
      <c r="J113" s="63" t="s">
        <v>259</v>
      </c>
      <c r="K113" s="74" t="str">
        <f t="shared" si="4"/>
        <v>0</v>
      </c>
    </row>
    <row r="114" spans="10:11" ht="12.75" hidden="1">
      <c r="J114" s="63" t="s">
        <v>260</v>
      </c>
      <c r="K114" s="74" t="str">
        <f t="shared" si="4"/>
        <v>0</v>
      </c>
    </row>
    <row r="115" spans="10:11" ht="12.75" hidden="1">
      <c r="J115" s="63" t="s">
        <v>261</v>
      </c>
      <c r="K115" s="74" t="str">
        <f t="shared" si="4"/>
        <v>0</v>
      </c>
    </row>
    <row r="116" spans="10:11" ht="12.75" hidden="1">
      <c r="J116" s="64" t="str">
        <f>"Mode_120 ARII Temperature rise "&amp;MCX_Unicod(916)&amp;MCX_Unicod(977)&amp;"3"</f>
        <v>Mode_120 ARII Temperature rise Δϑ3</v>
      </c>
      <c r="K116" s="74" t="str">
        <f t="shared" si="4"/>
        <v>0</v>
      </c>
    </row>
    <row r="117" spans="10:11" ht="12.75" hidden="1">
      <c r="J117" s="64" t="str">
        <f>"Mode_130 ARII Temperature rise "&amp;MCX_Unicod(916)&amp;MCX_Unicod(977)&amp;"1 (Warn), "&amp;MCX_Unicod(916)&amp;MCX_Unicod(977)&amp;"2 (Trip)"</f>
        <v>Mode_130 ARII Temperature rise Δϑ1 (Warn), Δϑ2 (Trip)</v>
      </c>
      <c r="K117" s="74" t="str">
        <f t="shared" si="4"/>
        <v>0</v>
      </c>
    </row>
    <row r="118" spans="10:11" ht="12.75" hidden="1">
      <c r="J118" s="63" t="s">
        <v>262</v>
      </c>
      <c r="K118" s="74" t="str">
        <f t="shared" si="4"/>
        <v>0</v>
      </c>
    </row>
    <row r="119" spans="10:11" ht="12.75" hidden="1">
      <c r="J119" s="63" t="s">
        <v>263</v>
      </c>
      <c r="K119" s="74" t="str">
        <f t="shared" si="4"/>
        <v>0</v>
      </c>
    </row>
    <row r="120" spans="10:11" ht="12.75" hidden="1">
      <c r="J120" s="63" t="s">
        <v>264</v>
      </c>
      <c r="K120" s="74" t="str">
        <f t="shared" si="4"/>
        <v>0</v>
      </c>
    </row>
    <row r="121" spans="10:11" ht="12.75" hidden="1">
      <c r="J121" s="46" t="s">
        <v>59</v>
      </c>
      <c r="K121" s="48">
        <f>CSV_String(JumperS4)</f>
      </c>
    </row>
    <row r="122" spans="10:11" ht="12.75" hidden="1">
      <c r="J122" s="46" t="s">
        <v>60</v>
      </c>
      <c r="K122" s="48">
        <f>CSV_String(Switch65_1)</f>
      </c>
    </row>
    <row r="123" spans="10:11" ht="12.75" hidden="1">
      <c r="J123" s="46" t="s">
        <v>62</v>
      </c>
      <c r="K123" s="48">
        <f>CSV_String(Switch65_2)</f>
      </c>
    </row>
    <row r="124" spans="10:11" ht="12.75" hidden="1">
      <c r="J124" s="46" t="s">
        <v>63</v>
      </c>
      <c r="K124" s="48">
        <f>CSV_String(Switch65_3)</f>
      </c>
    </row>
    <row r="125" spans="10:11" ht="12.75" hidden="1">
      <c r="J125" s="46" t="s">
        <v>64</v>
      </c>
      <c r="K125" s="48">
        <f>CSV_String(Switch65_4)</f>
      </c>
    </row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spans="10:11" ht="12.75" hidden="1">
      <c r="J134" s="54"/>
      <c r="K134" s="55"/>
    </row>
  </sheetData>
  <sheetProtection sheet="1" selectLockedCells="1"/>
  <mergeCells count="72">
    <mergeCell ref="D32:G32"/>
    <mergeCell ref="D70:G70"/>
    <mergeCell ref="D63:G63"/>
    <mergeCell ref="D49:G49"/>
    <mergeCell ref="D54:G54"/>
    <mergeCell ref="D35:G35"/>
    <mergeCell ref="D51:G51"/>
    <mergeCell ref="D46:G46"/>
    <mergeCell ref="D58:G58"/>
    <mergeCell ref="D59:G59"/>
    <mergeCell ref="D103:G103"/>
    <mergeCell ref="A72:H72"/>
    <mergeCell ref="D65:G65"/>
    <mergeCell ref="D66:G66"/>
    <mergeCell ref="D69:G69"/>
    <mergeCell ref="D34:G34"/>
    <mergeCell ref="D78:G78"/>
    <mergeCell ref="D79:G79"/>
    <mergeCell ref="D81:G81"/>
    <mergeCell ref="D82:G82"/>
    <mergeCell ref="D104:G104"/>
    <mergeCell ref="D105:G105"/>
    <mergeCell ref="D28:G28"/>
    <mergeCell ref="D100:G100"/>
    <mergeCell ref="D102:G102"/>
    <mergeCell ref="D84:G84"/>
    <mergeCell ref="D75:G75"/>
    <mergeCell ref="D67:G67"/>
    <mergeCell ref="D68:G68"/>
    <mergeCell ref="D73:G73"/>
    <mergeCell ref="B6:G6"/>
    <mergeCell ref="B7:G7"/>
    <mergeCell ref="A10:H10"/>
    <mergeCell ref="D21:G21"/>
    <mergeCell ref="B16:G16"/>
    <mergeCell ref="B11:G11"/>
    <mergeCell ref="A17:H17"/>
    <mergeCell ref="B9:G9"/>
    <mergeCell ref="B8:G8"/>
    <mergeCell ref="D76:G76"/>
    <mergeCell ref="A101:H101"/>
    <mergeCell ref="A99:H99"/>
    <mergeCell ref="A83:H83"/>
    <mergeCell ref="D60:G60"/>
    <mergeCell ref="D62:G62"/>
    <mergeCell ref="D71:G71"/>
    <mergeCell ref="D40:G40"/>
    <mergeCell ref="D48:G48"/>
    <mergeCell ref="D45:G45"/>
    <mergeCell ref="D44:G44"/>
    <mergeCell ref="D57:G57"/>
    <mergeCell ref="D43:G43"/>
    <mergeCell ref="D52:G52"/>
    <mergeCell ref="D55:G55"/>
    <mergeCell ref="D37:G37"/>
    <mergeCell ref="D41:G41"/>
    <mergeCell ref="D38:G38"/>
    <mergeCell ref="D23:G23"/>
    <mergeCell ref="B15:G15"/>
    <mergeCell ref="D20:G20"/>
    <mergeCell ref="D29:G29"/>
    <mergeCell ref="D22:G22"/>
    <mergeCell ref="D18:G18"/>
    <mergeCell ref="B19:G19"/>
    <mergeCell ref="A31:H31"/>
    <mergeCell ref="D30:G30"/>
    <mergeCell ref="B12:G12"/>
    <mergeCell ref="B13:G13"/>
    <mergeCell ref="B14:G14"/>
    <mergeCell ref="A24:H24"/>
    <mergeCell ref="D25:G25"/>
    <mergeCell ref="D26:G26"/>
  </mergeCells>
  <conditionalFormatting sqref="D29">
    <cfRule type="expression" priority="15" dxfId="0" stopIfTrue="1">
      <formula>$D$28="no"</formula>
    </cfRule>
  </conditionalFormatting>
  <conditionalFormatting sqref="H60:H61">
    <cfRule type="expression" priority="16" dxfId="0" stopIfTrue="1">
      <formula>OR(AND(Mode_047&gt;=4,Mode_047&lt;=5),Mode_047&gt;=7,SUM(Mode_117)=0,AND(NOT(ISBLANK(Mode_017)),Mode_017=0,NOT(ISBLANK(Mode_018)),Mode_018=0))</formula>
    </cfRule>
  </conditionalFormatting>
  <conditionalFormatting sqref="D62:G62">
    <cfRule type="expression" priority="17" dxfId="0" stopIfTrue="1">
      <formula>OR(Mode_047=6,AND(Mode_047&gt;=14,Mode_047&lt;=16),Mode_047=18)</formula>
    </cfRule>
  </conditionalFormatting>
  <conditionalFormatting sqref="D63:G63">
    <cfRule type="expression" priority="18" dxfId="0" stopIfTrue="1">
      <formula>OR(AND(Mode_047&gt;=4,Mode_047&lt;=5),Mode_047&gt;=7)</formula>
    </cfRule>
  </conditionalFormatting>
  <conditionalFormatting sqref="D34">
    <cfRule type="expression" priority="19" dxfId="0" stopIfTrue="1">
      <formula>OR(Mode_047=7,Mode_047=16,AND(NOT(ISBLANK(Mode_101)),SUM(Mode_101)=0))</formula>
    </cfRule>
  </conditionalFormatting>
  <conditionalFormatting sqref="D35:G35">
    <cfRule type="expression" priority="20" dxfId="0" stopIfTrue="1">
      <formula>OR(Mode_047=7,Mode_047=16,AND(NOT(ISBLANK(Mode_101)),SUM(Mode_101)=0),AND(NOT(ISBLANK(Mode_001)),Mode_001=0))</formula>
    </cfRule>
  </conditionalFormatting>
  <conditionalFormatting sqref="D37:G37">
    <cfRule type="expression" priority="21" dxfId="0" stopIfTrue="1">
      <formula>OR(Mode_047=7,Mode_047=10,Mode_047=15,Mode_047=18,AND(NOT(ISBLANK(Mode_103)),SUM(Mode_103)=0))</formula>
    </cfRule>
  </conditionalFormatting>
  <conditionalFormatting sqref="D40:G40">
    <cfRule type="expression" priority="22" dxfId="0" stopIfTrue="1">
      <formula>OR(AND(Mode_047&gt;=8,Mode_047&lt;=10),AND(Mode_047&gt;=12,Mode_047&lt;=14),Mode_047&gt;=17,AND(NOT(ISBLANK(Mode_105)),SUM(Mode_105)=0))</formula>
    </cfRule>
  </conditionalFormatting>
  <conditionalFormatting sqref="D41:G41">
    <cfRule type="expression" priority="23" dxfId="0" stopIfTrue="1">
      <formula>OR(AND(Mode_047&gt;=8,Mode_047&lt;=10),AND(Mode_047&gt;=12,Mode_047&lt;=14),Mode_047&gt;=17,AND(NOT(ISBLANK(Mode_105)),SUM(Mode_105)=0),AND(NOT(ISBLANK(Mode_005)),Mode_005=0))</formula>
    </cfRule>
  </conditionalFormatting>
  <conditionalFormatting sqref="D43:G43">
    <cfRule type="expression" priority="24" dxfId="0" stopIfTrue="1">
      <formula>OR(AND(Mode_047&gt;=8,Mode_047&lt;=10),AND(Mode_047&gt;=17,Mode_047&lt;=18),AND(NOT(ISBLANK(Mode_107)),SUM(Mode_107)=0))</formula>
    </cfRule>
  </conditionalFormatting>
  <conditionalFormatting sqref="D44:G46">
    <cfRule type="expression" priority="25" dxfId="0" stopIfTrue="1">
      <formula>OR(AND(Mode_047&gt;=8,Mode_047&lt;=10),AND(Mode_047&gt;=17,Mode_047&lt;=18),AND(NOT(ISBLANK(Mode_107)),SUM(Mode_107)=0),AND(NOT(ISBLANK(Mode_007)),Mode_007=0))</formula>
    </cfRule>
  </conditionalFormatting>
  <conditionalFormatting sqref="D48:G48">
    <cfRule type="expression" priority="26" dxfId="0" stopIfTrue="1">
      <formula>OR(AND(Mode_047&gt;=3,Mode_047&lt;=10),Mode_047&gt;=12,AND(NOT(ISBLANK(Mode_111)),SUM(Mode_111)=0))</formula>
    </cfRule>
  </conditionalFormatting>
  <conditionalFormatting sqref="D49:G49">
    <cfRule type="expression" priority="27" dxfId="0" stopIfTrue="1">
      <formula>OR(AND(Mode_047&gt;=3,Mode_047&lt;=10),Mode_047&gt;=12,AND(NOT(ISBLANK(Mode_111)),SUM(Mode_111)=0),AND(NOT(ISBLANK(Mode_011)),Mode_011=0))</formula>
    </cfRule>
  </conditionalFormatting>
  <conditionalFormatting sqref="D51:G51">
    <cfRule type="expression" priority="28" dxfId="0" stopIfTrue="1">
      <formula>OR(Mode_047=5,Mode_047=9,Mode_047&gt;=14,AND(NOT(ISBLANK(Mode_113)),SUM(Mode_113)=0))</formula>
    </cfRule>
  </conditionalFormatting>
  <conditionalFormatting sqref="D52:G52">
    <cfRule type="expression" priority="29" dxfId="0" stopIfTrue="1">
      <formula>OR(Mode_047=5,Mode_047=9,Mode_047&gt;=14,AND(NOT(ISBLANK(Mode_113)),SUM(Mode_113)=0),AND(NOT(ISBLANK(Mode_013)),Mode_013=0))</formula>
    </cfRule>
  </conditionalFormatting>
  <conditionalFormatting sqref="D54:G54">
    <cfRule type="expression" priority="30" dxfId="0" stopIfTrue="1">
      <formula>OR(AND(Mode_047&gt;=3,Mode_047&lt;=5),Mode_047&gt;=7,AND(NOT(ISBLANK(Mode_115)),SUM(Mode_115)=0))</formula>
    </cfRule>
  </conditionalFormatting>
  <conditionalFormatting sqref="D55:G55">
    <cfRule type="expression" priority="31" dxfId="0" stopIfTrue="1">
      <formula>OR(AND(Mode_047&gt;=3,Mode_047&lt;=5),Mode_047&gt;=7,AND(NOT(ISBLANK(Mode_115)),SUM(Mode_115)=0),AND(NOT(ISBLANK(Mode_015)),Mode_015=0))</formula>
    </cfRule>
  </conditionalFormatting>
  <conditionalFormatting sqref="D57">
    <cfRule type="expression" priority="32" dxfId="0" stopIfTrue="1">
      <formula>OR(AND(Mode_047&gt;=4,Mode_047&lt;=5),Mode_047&gt;=7,AND(NOT(ISBLANK(Mode_117)),SUM(Mode_117)=0),AND(NOT(ISBLANK(Mode_017)),Mode_017=0,NOT(ISBLANK(Mode_018)),Mode_018=0))</formula>
    </cfRule>
  </conditionalFormatting>
  <conditionalFormatting sqref="D58:G59">
    <cfRule type="expression" priority="33" dxfId="0" stopIfTrue="1">
      <formula>OR(AND(Mode_047&gt;=4,Mode_047&lt;=5),Mode_047&gt;=7,AND(NOT(ISBLANK(Mode_117)),SUM(Mode_117)=0))</formula>
    </cfRule>
  </conditionalFormatting>
  <conditionalFormatting sqref="D38:G38">
    <cfRule type="expression" priority="34" dxfId="0" stopIfTrue="1">
      <formula>OR(Mode_047=7,Mode_047=10,Mode_047=15,Mode_047=18,AND(NOT(ISBLANK(Mode_103)),SUM(Mode_103)=0),AND(NOT(ISBLANK(Mode_003)),Mode_003=0))</formula>
    </cfRule>
  </conditionalFormatting>
  <conditionalFormatting sqref="D75:G75">
    <cfRule type="expression" priority="35" dxfId="0" stopIfTrue="1">
      <formula>OR(NOT(OR(Mode_047=2,Mode_047=11,Mode_047=12,Mode_047=19,Mode_047=0)),AND($I$96,SUM(Mode_141)=0))</formula>
    </cfRule>
  </conditionalFormatting>
  <conditionalFormatting sqref="D76:G76">
    <cfRule type="expression" priority="36" dxfId="0" stopIfTrue="1">
      <formula>OR(AND(NOT(ISBLANK(Mode_041)),Mode_041=0),OR(NOT(OR(Mode_047=2,Mode_047=11,Mode_047=12,Mode_047=19,Mode_047=0)),AND($I$96,SUM(Mode_141)=0)))</formula>
    </cfRule>
  </conditionalFormatting>
  <conditionalFormatting sqref="D78:G78">
    <cfRule type="expression" priority="37" dxfId="0" stopIfTrue="1">
      <formula>OR(NOT(OR(Mode_047=2,Mode_047=11,Mode_047=12,Mode_047=19,Mode_047=0)),AND($I$97,SUM(Mode_143)=0))</formula>
    </cfRule>
  </conditionalFormatting>
  <conditionalFormatting sqref="D79:G79">
    <cfRule type="expression" priority="38" dxfId="0" stopIfTrue="1">
      <formula>OR(AND(NOT(ISBLANK(Mode_043)),Mode_043=0),OR(NOT(OR(Mode_047=2,Mode_047=11,Mode_047=12,Mode_047=19,Mode_047=0)),AND($I$97,SUM(Mode_143)=0)))</formula>
    </cfRule>
  </conditionalFormatting>
  <conditionalFormatting sqref="D81:G81">
    <cfRule type="expression" priority="39" dxfId="0" stopIfTrue="1">
      <formula>OR(NOT(OR(Mode_047=2,Mode_047=11,Mode_047=12,Mode_047=19,Mode_047=0)),AND($I$98,SUM(Mode_145)=0))</formula>
    </cfRule>
  </conditionalFormatting>
  <conditionalFormatting sqref="D82:G82">
    <cfRule type="expression" priority="40" dxfId="0" stopIfTrue="1">
      <formula>OR(AND(NOT(ISBLANK(Mode_045)),Mode_045=0),OR(NOT(OR(Mode_047=2,Mode_047=11,Mode_047=12,Mode_047=19,Mode_047=0)),AND($I$98,SUM(Mode_145)=0)))</formula>
    </cfRule>
  </conditionalFormatting>
  <conditionalFormatting sqref="D65:G66">
    <cfRule type="expression" priority="41" dxfId="0" stopIfTrue="1">
      <formula>OR(OR(Mode_047=6,AND(Mode_047&gt;=14,Mode_047&lt;=16),Mode_047=18,AND(NOT(ISBLANK(Mode_130)),SUM(Mode_130)=0)))</formula>
    </cfRule>
  </conditionalFormatting>
  <conditionalFormatting sqref="D67:G70">
    <cfRule type="expression" priority="42" dxfId="0" stopIfTrue="1">
      <formula>OR(OR(Mode_047=6,AND(Mode_047&gt;=14,Mode_047&lt;=16),Mode_047=18,AND(NOT(ISBLANK(Mode_130)),SUM(Mode_130)=0),AND(AND(NOT(ISBLANK(Mode_030)),Mode_030=0),AND(NOT(ISBLANK(Mode_031)),Mode_031=0))))</formula>
    </cfRule>
  </conditionalFormatting>
  <conditionalFormatting sqref="D60:G60">
    <cfRule type="expression" priority="43" dxfId="0" stopIfTrue="1">
      <formula>OR(AND(Mode_047&gt;=4,Mode_047&lt;=5),Mode_047&gt;=7,AND(NOT(ISBLANK(Mode_117)),SUM(Mode_117)=0),AND(AND(NOT(ISBLANK(Mode_017)),Mode_017=0),AND(NOT(ISBLANK(Mode_018)),Mode_018=0)))</formula>
    </cfRule>
  </conditionalFormatting>
  <conditionalFormatting sqref="D30">
    <cfRule type="expression" priority="14" dxfId="0" stopIfTrue="1">
      <formula>$D$27="no"</formula>
    </cfRule>
  </conditionalFormatting>
  <conditionalFormatting sqref="D86:G86">
    <cfRule type="expression" priority="13" dxfId="0" stopIfTrue="1">
      <formula>OR(Mode_047=7,Mode_047=16)</formula>
    </cfRule>
  </conditionalFormatting>
  <conditionalFormatting sqref="D87:G87">
    <cfRule type="expression" priority="12" dxfId="0" stopIfTrue="1">
      <formula>OR(Mode_047=7,Mode_047=10,Mode_047=15,Mode_047=18)</formula>
    </cfRule>
  </conditionalFormatting>
  <conditionalFormatting sqref="D88:G88">
    <cfRule type="expression" priority="11" dxfId="0" stopIfTrue="1">
      <formula>OR(Mode_047=8,Mode_047=9,Mode_047=10,Mode_047=12,Mode_047=13,Mode_047=14,Mode_047=17,Mode_047=18,Mode_047=19)</formula>
    </cfRule>
  </conditionalFormatting>
  <conditionalFormatting sqref="D89:G89">
    <cfRule type="expression" priority="10" dxfId="0" stopIfTrue="1">
      <formula>OR(Mode_047=8,Mode_047=9,Mode_047=10,Mode_047=17,Mode_047=18)</formula>
    </cfRule>
  </conditionalFormatting>
  <conditionalFormatting sqref="D90:G90">
    <cfRule type="expression" priority="9" dxfId="0" stopIfTrue="1">
      <formula>OR(AND(Mode_047&gt;=3,Mode_047&lt;=10),Mode_047&gt;=12)</formula>
    </cfRule>
  </conditionalFormatting>
  <conditionalFormatting sqref="D91:G91">
    <cfRule type="expression" priority="8" dxfId="0" stopIfTrue="1">
      <formula>OR(Mode_047=5,Mode_047=9,Mode_047&gt;=14)</formula>
    </cfRule>
  </conditionalFormatting>
  <conditionalFormatting sqref="D92:G92">
    <cfRule type="expression" priority="7" dxfId="0" stopIfTrue="1">
      <formula>OR(AND(Mode_047&gt;=3,Mode_047&lt;=5),Mode_047&gt;=7)</formula>
    </cfRule>
  </conditionalFormatting>
  <conditionalFormatting sqref="D93:G93">
    <cfRule type="expression" priority="6" dxfId="0" stopIfTrue="1">
      <formula>OR(AND(Mode_047&gt;=4,Mode_047&lt;=5),Mode_047&gt;=7)</formula>
    </cfRule>
  </conditionalFormatting>
  <conditionalFormatting sqref="D94:G94">
    <cfRule type="expression" priority="5" dxfId="0" stopIfTrue="1">
      <formula>OR(Mode_047=6,AND(Mode_047&gt;=14,Mode_047&lt;=16),Mode_047=18)</formula>
    </cfRule>
  </conditionalFormatting>
  <conditionalFormatting sqref="D95:G95">
    <cfRule type="expression" priority="4" dxfId="0" stopIfTrue="1">
      <formula>OR(Mode_047=6,AND(Mode_047&gt;=14,Mode_047&lt;=16),Mode_047=18)</formula>
    </cfRule>
  </conditionalFormatting>
  <conditionalFormatting sqref="D96:G96">
    <cfRule type="expression" priority="3" dxfId="0" stopIfTrue="1">
      <formula>NOT(OR(Mode_047=2,Mode_047=11,Mode_047=12,Mode_047=19,Mode_047=0))</formula>
    </cfRule>
  </conditionalFormatting>
  <conditionalFormatting sqref="D97:G98">
    <cfRule type="expression" priority="1" dxfId="0" stopIfTrue="1">
      <formula>NOT(OR(Mode_047=2,Mode_047=11,Mode_047=12,Mode_047=19,Mode_047=0))</formula>
    </cfRule>
  </conditionalFormatting>
  <dataValidations count="39">
    <dataValidation type="custom" showErrorMessage="1" errorTitle="The input value is not correct" error="Please check the following criteria:&#10;Is a whole number AND&#10;the value range is &gt;=1 AND &lt;=6000" sqref="D29">
      <formula1>I29</formula1>
    </dataValidation>
    <dataValidation type="custom" operator="greaterThanOrEqual" showErrorMessage="1" errorTitle="The input value is not correct" error="You have to fill this field!&#10;The amount of characters must be &gt;0 AND &lt;32&#10;AND &#10;the characters \ / ? * [ or ] are not allowed&#10;AND&#10;This entry must be different from all sheet names" sqref="B8">
      <formula1>I8</formula1>
    </dataValidation>
    <dataValidation type="list" showInputMessage="1" showErrorMessage="1" errorTitle="The input value is not correct" error="Please use a value from the drop down list" sqref="D100">
      <formula1>"1 to 2,2 to 3"</formula1>
    </dataValidation>
    <dataValidation type="list" showErrorMessage="1" errorTitle="The input value is not correct" error="Please use a value from the drop down list" sqref="D102:D105">
      <formula1>"open,closed"</formula1>
    </dataValidation>
    <dataValidation type="list" showErrorMessage="1" errorTitle="The input value is not correct" error="Please check the following criteria:&#10;The allowed values are&#10;0 OR 1 OR 2 Or 3" sqref="D86:G89 D91:G93 D95:G98">
      <formula1>"0,1,2,3"</formula1>
    </dataValidation>
    <dataValidation type="list" showErrorMessage="1" errorTitle="The input value is not correct" error="Please check the following criteria:&#10;The allowed values are&#10;0 OR 1 OR 2" sqref="D73 D90:G90">
      <formula1>"0,1,2"</formula1>
    </dataValidation>
    <dataValidation type="list" showErrorMessage="1" errorTitle="The input value is not correct" error="Please use a value from the drop down list" sqref="D20">
      <formula1>"MCX 913,MCX 912"</formula1>
    </dataValidation>
    <dataValidation type="list" showErrorMessage="1" errorTitle="The input value is not correct" error="Please use a value from the drop down list" sqref="D21">
      <formula1>"1,5"</formula1>
    </dataValidation>
    <dataValidation type="list" showErrorMessage="1" errorTitle="The input value is not correct" error="Please use a value from the drop down list" sqref="D22">
      <formula1>"50,60"</formula1>
    </dataValidation>
    <dataValidation type="list" showErrorMessage="1" errorTitle="The input value is not correct" error="Please use a value from the deop down list" sqref="D23">
      <formula1>"36 - 312 V DC,80 - 242 V AC,18 - 36 V DC"</formula1>
    </dataValidation>
    <dataValidation type="whole" showErrorMessage="1" errorTitle="The input value is not correct" error="Please check the following criteria:&#10;Is a whole number AND&#10;the value range is &gt;=1 AND &lt;=6000" sqref="D25">
      <formula1>1</formula1>
      <formula2>6000</formula2>
    </dataValidation>
    <dataValidation type="custom" showErrorMessage="1" errorTitle="The input value is not correct" error="Please check the following criteria:&#10;The allowed values are&#10;(&gt;=0,3 AND &lt;=1,2 AND max. 2 decimal places)" sqref="D32">
      <formula1>I32</formula1>
    </dataValidation>
    <dataValidation type="custom" showErrorMessage="1" errorTitle="The input value is not correct" error="Please check the following criteria:&#10;(&gt;=0,01 AND &lt;=9,99 AND max. 2 decimal places) OR&#10;(&gt;=10 AND &lt;=99,9 AND max. 1 decimal places) OR&#10;100" sqref="D44">
      <formula1>I44</formula1>
    </dataValidation>
    <dataValidation type="custom" showErrorMessage="1" errorTitle="The input value is not correct" error="Please check the following criteria:&#10;(Zero) OR&#10;(&gt;=2 AND &lt;=20 AND max. 1 decimal place)" sqref="D75 D34">
      <formula1>I75</formula1>
    </dataValidation>
    <dataValidation type="custom" showErrorMessage="1" errorTitle="The input value is not correct" error="Please check the following criteria:&#10;(Zero) OR&#10;(&gt;=0 AND &lt;=9,99 AND max. 2 decimal places)" sqref="D76">
      <formula1>I76</formula1>
    </dataValidation>
    <dataValidation type="custom" showErrorMessage="1" errorTitle="The input value is not correct" error="Please check the following criteria:&#10;(Zero) OR&#10;(&gt;=0,8 AND &lt;=8 AND max. 1 decimal place)" sqref="D81 D37 D51 D48 D78">
      <formula1>I81</formula1>
    </dataValidation>
    <dataValidation type="custom" showErrorMessage="1" errorTitle="The input value is not correct" error="Please check the following criteria:&#10;(&gt;=0,1 AND &lt;=99,9 AND max. 1 decimal place) OR&#10;(&gt;=100 AND &lt;=200 AND max. 0 decimal place)" sqref="D82 D38 D41 D49 D55 D79">
      <formula1>I82</formula1>
    </dataValidation>
    <dataValidation type="whole" showErrorMessage="1" errorTitle="The input value is not correct" error="Please check the following criteria:&#10;The allowed values are&#10;&gt;=1 AND &lt;=19 AND whole number" sqref="D84">
      <formula1>1</formula1>
      <formula2>19</formula2>
    </dataValidation>
    <dataValidation type="custom" showErrorMessage="1" errorTitle="The input value is not correct" error="Please check the following criteria:&#10;(Zero) OR&#10;(&gt;=0,1 AND &lt;=0,5 AND max. 2 decimal places)" sqref="D40">
      <formula1>I40</formula1>
    </dataValidation>
    <dataValidation type="custom" showErrorMessage="1" errorTitle="The input value is not correct" error="Please check the following criteria:&#10;(Zero) OR&#10;(&gt;=0,2 AND &lt;=1 AND max. 2 decimal places)" sqref="D43">
      <formula1>I43</formula1>
    </dataValidation>
    <dataValidation type="custom" showErrorMessage="1" errorTitle="The input value is not correct" error="Please check the following criteria:&#10;1 OR 5 OR 25" sqref="D46">
      <formula1>I46</formula1>
    </dataValidation>
    <dataValidation type="custom" showErrorMessage="1" errorTitle="The input value is not correct" error="Please check the following criteria:&#10;0 OR 1" sqref="D45">
      <formula1>I45</formula1>
    </dataValidation>
    <dataValidation type="custom" showErrorMessage="1" errorTitle="The input value is not correct" error="Please check the following criteria:&#10;(&gt;=1 AND &lt;=99,9 AND max. 1 decimal place) OR&#10;(&gt;=100 AND &lt;=9999 AND max. 0 decimal place)" sqref="D52">
      <formula1>I52</formula1>
    </dataValidation>
    <dataValidation type="custom" showErrorMessage="1" errorTitle="The input value is not correct" error="Please check the following criteria:&#10;(Zero) OR&#10;(&gt;=0,3 AND &lt;=3 AND max. 1 decimal place)" sqref="D54">
      <formula1>I54</formula1>
    </dataValidation>
    <dataValidation type="custom" showErrorMessage="1" errorTitle="The input value is not correct" error="Please check the following criteria:&#10;The allowed values are&#10;&gt;=1 AND &lt;=9999 AND whole number" sqref="D60">
      <formula1>I60</formula1>
    </dataValidation>
    <dataValidation type="custom" showErrorMessage="1" errorTitle="The input value is not correct" error="Please check the following criteria:&#10;The allowed values are&#10;&gt;=1 AND &lt;=100 AND whole number" sqref="D67">
      <formula1>I67</formula1>
    </dataValidation>
    <dataValidation type="custom" showErrorMessage="1" errorTitle="The input value is not correct" error="Please check the following criteria:&#10;The allowed values are&#10;&gt;=1 AND &lt;=200 AND whole number" sqref="D68">
      <formula1>I68</formula1>
    </dataValidation>
    <dataValidation type="custom" showErrorMessage="1" errorTitle="The input value is not correct" error="Please check the following criteria:&#10;(Zero) OR&#10;(&gt;=0 AND &lt;=200 AND no decimal places)" sqref="D70:D71">
      <formula1>I70</formula1>
    </dataValidation>
    <dataValidation type="custom" showErrorMessage="1" errorTitle="The input value is not correct" error="Please check the following criteria:&#10;The allowed values are&#10;&gt;=1 AND &lt;=999 AND whole number" sqref="D69">
      <formula1>I69</formula1>
    </dataValidation>
    <dataValidation type="custom" showErrorMessage="1" errorTitle="The input value is not correct" error="Please check the following criteria:&#10;(Zero) OR&#10;(&gt;=1 AND &lt;=10 AND no decimal place)" sqref="D58:D59">
      <formula1>I58</formula1>
    </dataValidation>
    <dataValidation type="custom" showErrorMessage="1" errorTitle="The input value is not correct" error="Please check the following criteria:&#10;(Zero) OR&#10;(&gt;=50 AND &lt;=200 AND no decimal place)" sqref="D62 D65:D66">
      <formula1>I62</formula1>
    </dataValidation>
    <dataValidation type="list" showErrorMessage="1" errorTitle="The input value is not correct" error="Please use a value from the drop down list" sqref="D28">
      <formula1>"yes,no"</formula1>
    </dataValidation>
    <dataValidation type="date" operator="greaterThan" showErrorMessage="1" errorTitle="The input value is not correct" error="You have to fill this field" sqref="B11">
      <formula1>41275</formula1>
    </dataValidation>
    <dataValidation type="textLength" showErrorMessage="1" errorTitle="The input value is not correct" error="You have to fill this field&#10;The amount of characters must be &gt;0 AND &lt;44" sqref="B6:B7 B12:B13">
      <formula1>1</formula1>
      <formula2>44</formula2>
    </dataValidation>
    <dataValidation type="textLength" allowBlank="1" showErrorMessage="1" errorTitle="The input value is not correct" error="This field is optional&#10;If it is filled, the amount of characters must be &gt;0 AND &lt;44" sqref="B14:B16 B9 B19">
      <formula1>1</formula1>
      <formula2>44</formula2>
    </dataValidation>
    <dataValidation type="custom" showErrorMessage="1" errorTitle="The input value is not correct" error="Please check the following criteria:&#10;The allowed values are&#10;(&gt;=0 AND &lt;=9,99 AND max. 2 decimal places)" sqref="D35">
      <formula1>I35</formula1>
    </dataValidation>
    <dataValidation type="custom" showErrorMessage="1" errorTitle="The input value is not correct" error="Please check the following criteria:&#10;(&gt;=1 AND &lt;=80 AND no decimal place)" sqref="D57">
      <formula1>I57</formula1>
    </dataValidation>
    <dataValidation type="custom" showErrorMessage="1" errorTitle="The input value is not correct" error="Please check the following criteria:&#10;The allowed values are&#10;0 OR 1 OR 2" sqref="D63">
      <formula1>I63</formula1>
    </dataValidation>
    <dataValidation type="list" showErrorMessage="1" errorTitle="The input value is not correct" error="Please check the following criteria:&#10;The allowed values are&#10;0 OR 1" sqref="D94:G94">
      <formula1>"0,1"</formula1>
    </dataValidation>
  </dataValidations>
  <printOptions horizontalCentered="1"/>
  <pageMargins left="0.984251968503937" right="0.3937007874015748" top="0.5905511811023623" bottom="0.5905511811023623" header="0.15748031496062992" footer="0.1968503937007874"/>
  <pageSetup fitToHeight="100" horizontalDpi="600" verticalDpi="600" orientation="portrait" paperSize="9" r:id="rId2"/>
  <headerFooter alignWithMargins="0">
    <oddFooter>&amp;CPage &amp;P of &amp;N&amp;R&amp;A</oddFooter>
  </headerFooter>
  <rowBreaks count="2" manualBreakCount="2">
    <brk id="41" max="7" man="1"/>
    <brk id="84" max="7" man="1"/>
  </rowBreaks>
  <ignoredErrors>
    <ignoredError sqref="H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Klich</dc:creator>
  <cp:keywords/>
  <dc:description/>
  <cp:lastModifiedBy>Sture Still</cp:lastModifiedBy>
  <cp:lastPrinted>2013-04-26T12:15:21Z</cp:lastPrinted>
  <dcterms:created xsi:type="dcterms:W3CDTF">2013-01-22T15:06:21Z</dcterms:created>
  <dcterms:modified xsi:type="dcterms:W3CDTF">2015-02-17T05:37:35Z</dcterms:modified>
  <cp:category/>
  <cp:version/>
  <cp:contentType/>
  <cp:contentStatus/>
</cp:coreProperties>
</file>